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esagroindustrial-my.sharepoint.com/personal/eduardo_motter_3tentos_com_br/Documents/Relações com Investidores/Resultados Trimestrais/2026/2T26/Site/"/>
    </mc:Choice>
  </mc:AlternateContent>
  <xr:revisionPtr revIDLastSave="537" documentId="8_{6E579FF3-168D-41EB-85EE-83B7A69C18D2}" xr6:coauthVersionLast="47" xr6:coauthVersionMax="47" xr10:uidLastSave="{939F2474-DF6E-410E-84D7-7378A8EE2670}"/>
  <bookViews>
    <workbookView xWindow="-108" yWindow="-108" windowWidth="23256" windowHeight="12456" xr2:uid="{440EB482-5FFB-4526-99DF-5776A098B10F}"/>
  </bookViews>
  <sheets>
    <sheet name="Ativo" sheetId="1" r:id="rId1"/>
    <sheet name="Passivo" sheetId="2" r:id="rId2"/>
    <sheet name="DRE_ACM" sheetId="3" r:id="rId3"/>
    <sheet name="DRE_TRI" sheetId="4" r:id="rId4"/>
    <sheet name="Fluxo de Caixa" sheetId="5" r:id="rId5"/>
    <sheet name="Dados Financeiros" sheetId="6" r:id="rId6"/>
    <sheet name="Principais Num" sheetId="7" r:id="rId7"/>
    <sheet name="Dados Operacionais" sheetId="8" r:id="rId8"/>
  </sheets>
  <definedNames>
    <definedName name="__123Graph_A" localSheetId="5" hidden="1">#REF!</definedName>
    <definedName name="__123Graph_A" hidden="1">#REF!</definedName>
    <definedName name="__123Graph_ABRA" localSheetId="5" hidden="1">#REF!</definedName>
    <definedName name="__123Graph_ABRA" hidden="1">#REF!</definedName>
    <definedName name="__123Graph_AENDIVIDA" localSheetId="5" hidden="1">#REF!</definedName>
    <definedName name="__123Graph_AENDIVIDA" hidden="1">#REF!</definedName>
    <definedName name="__123Graph_B" hidden="1">#REF!</definedName>
    <definedName name="__123Graph_BENDIVIDA" hidden="1">#REF!</definedName>
    <definedName name="__123Graph_C" hidden="1">#REF!</definedName>
    <definedName name="__123Graph_CENDIVIDA" hidden="1">#REF!</definedName>
    <definedName name="__123Graph_D" hidden="1">#REF!</definedName>
    <definedName name="__123Graph_DENDIVIDA" hidden="1">#REF!</definedName>
    <definedName name="__123Graph_E" hidden="1">#REF!</definedName>
    <definedName name="__123Graph_EENDIVIDA" hidden="1">#REF!</definedName>
    <definedName name="__123Graph_F" hidden="1">#REF!</definedName>
    <definedName name="__123Graph_FENDIVIDA" hidden="1">#REF!</definedName>
    <definedName name="__123Graph_X" localSheetId="5" hidden="1">#REF!</definedName>
    <definedName name="__123Graph_X" hidden="1">#REF!</definedName>
    <definedName name="__123Graph_XBRA" localSheetId="5" hidden="1">#REF!</definedName>
    <definedName name="__123Graph_XBRA" hidden="1">#REF!</definedName>
    <definedName name="__123Graph_XENDIVIDA" localSheetId="5" hidden="1">#REF!</definedName>
    <definedName name="__123Graph_XENDIVIDA" hidden="1">#REF!</definedName>
    <definedName name="__FDS_HYPERLINK_TOGGLE_STATE__" hidden="1">"ON"</definedName>
    <definedName name="__IntlFixup" hidden="1">TRUE</definedName>
    <definedName name="__IntlFixupTable" hidden="1">#REF!</definedName>
    <definedName name="_1_123Graph_A" hidden="1">#REF!</definedName>
    <definedName name="_A100243" localSheetId="5">#REF!</definedName>
    <definedName name="_A100243">#REF!</definedName>
    <definedName name="_A100801" localSheetId="5">#REF!</definedName>
    <definedName name="_A100801">#REF!</definedName>
    <definedName name="_A103801" localSheetId="5">#REF!</definedName>
    <definedName name="_A103801">#REF!</definedName>
    <definedName name="_A103809" localSheetId="5">#REF!</definedName>
    <definedName name="_A103809">#REF!</definedName>
    <definedName name="_A108102" localSheetId="5">#REF!</definedName>
    <definedName name="_A108102">#REF!</definedName>
    <definedName name="_A202005" localSheetId="5">#REF!</definedName>
    <definedName name="_A202005">#REF!</definedName>
    <definedName name="_A202007" localSheetId="5">#REF!</definedName>
    <definedName name="_A202007">#REF!</definedName>
    <definedName name="_A203202" localSheetId="5">#REF!</definedName>
    <definedName name="_A203202">#REF!</definedName>
    <definedName name="_A203217" localSheetId="5">#REF!</definedName>
    <definedName name="_A203217">#REF!</definedName>
    <definedName name="_A203913" localSheetId="5">#REF!</definedName>
    <definedName name="_A203913">#REF!</definedName>
    <definedName name="_A211003" localSheetId="5">#REF!</definedName>
    <definedName name="_A211003">#REF!</definedName>
    <definedName name="_A211014" localSheetId="5">#REF!</definedName>
    <definedName name="_A211014">#REF!</definedName>
    <definedName name="_ATU2" localSheetId="5">#REF!</definedName>
    <definedName name="_ATU2" localSheetId="3">#REF!</definedName>
    <definedName name="_ATU2">#REF!</definedName>
    <definedName name="_Fill" localSheetId="5" hidden="1">#REF!</definedName>
    <definedName name="_Fill" hidden="1">#REF!</definedName>
    <definedName name="_Key1" localSheetId="5" hidden="1">#REF!</definedName>
    <definedName name="_Key1" hidden="1">#REF!</definedName>
    <definedName name="_Key2" localSheetId="5" hidden="1">#REF!</definedName>
    <definedName name="_Key2" hidden="1">#REF!</definedName>
    <definedName name="_Order1" hidden="1">255</definedName>
    <definedName name="_Order2" hidden="1">255</definedName>
    <definedName name="_Sort" localSheetId="5" hidden="1">#REF!</definedName>
    <definedName name="_Sort" hidden="1">#REF!</definedName>
    <definedName name="A1000XX" localSheetId="5">#REF!</definedName>
    <definedName name="A1000XX">#REF!</definedName>
    <definedName name="A10020404" localSheetId="5">#REF!</definedName>
    <definedName name="A10020404">#REF!</definedName>
    <definedName name="A10020902" localSheetId="5">#REF!</definedName>
    <definedName name="A10020902">#REF!</definedName>
    <definedName name="A10021002" localSheetId="5">#REF!</definedName>
    <definedName name="A10021002">#REF!</definedName>
    <definedName name="A10022520" localSheetId="5">#REF!</definedName>
    <definedName name="A10022520">#REF!</definedName>
    <definedName name="A10030101" localSheetId="5">#REF!</definedName>
    <definedName name="A10030101">#REF!</definedName>
    <definedName name="A1015Cr" localSheetId="5">#REF!</definedName>
    <definedName name="A1015Cr">#REF!</definedName>
    <definedName name="A1017Cr" localSheetId="5">#REF!</definedName>
    <definedName name="A1017Cr">#REF!</definedName>
    <definedName name="A1035XX" localSheetId="5">#REF!</definedName>
    <definedName name="A1035XX">#REF!</definedName>
    <definedName name="A1082Cr" localSheetId="5">#REF!</definedName>
    <definedName name="A1082Cr">#REF!</definedName>
    <definedName name="A1090Cr" localSheetId="5">#REF!</definedName>
    <definedName name="A1090Cr">#REF!</definedName>
    <definedName name="A1098Cr" localSheetId="5">#REF!</definedName>
    <definedName name="A1098Cr">#REF!</definedName>
    <definedName name="A11Cr" localSheetId="5">#REF!</definedName>
    <definedName name="A11Cr">#REF!</definedName>
    <definedName name="A12Cr" localSheetId="5">#REF!</definedName>
    <definedName name="A12Cr">#REF!</definedName>
    <definedName name="A2003Cr" localSheetId="5">#REF!</definedName>
    <definedName name="A2003Cr">#REF!</definedName>
    <definedName name="A2010Cr" localSheetId="5">#REF!</definedName>
    <definedName name="A2010Cr">#REF!</definedName>
    <definedName name="A2040XX" localSheetId="5">#REF!</definedName>
    <definedName name="A2040XX">#REF!</definedName>
    <definedName name="A2042Cr" localSheetId="5">#REF!</definedName>
    <definedName name="A2042Cr">#REF!</definedName>
    <definedName name="A2125Cr" localSheetId="5">#REF!</definedName>
    <definedName name="A2125Cr">#REF!</definedName>
    <definedName name="A664X_1" localSheetId="5">#REF!</definedName>
    <definedName name="A664X_1">#REF!</definedName>
    <definedName name="aa" localSheetId="5">#REF!</definedName>
    <definedName name="aa">#REF!</definedName>
    <definedName name="AAA_DOCTOPS" hidden="1">"AAA_SET"</definedName>
    <definedName name="AAA_duser" hidden="1">"OFF"</definedName>
    <definedName name="AAAAA" hidden="1">#REF!</definedName>
    <definedName name="AAB_Addin5" hidden="1">"AAB_Description for addin 5,Description for addin 5,Description for addin 5,Description for addin 5,Description for addin 5,Description for addin 5"</definedName>
    <definedName name="ABSDVCIS" hidden="1">#REF!</definedName>
    <definedName name="ACREWC" localSheetId="5" hidden="1">#REF!</definedName>
    <definedName name="ACREWC" hidden="1">#REF!</definedName>
    <definedName name="Acum_CDI" localSheetId="5">#REF!</definedName>
    <definedName name="Acum_CDI">#REF!</definedName>
    <definedName name="acxliurewcab" localSheetId="5" hidden="1">#REF!</definedName>
    <definedName name="acxliurewcab" hidden="1">#REF!</definedName>
    <definedName name="alda" localSheetId="5" hidden="1">#REF!</definedName>
    <definedName name="alda" hidden="1">#REF!</definedName>
    <definedName name="Analyse" localSheetId="5" hidden="1">#REF!</definedName>
    <definedName name="Analyse" hidden="1">#REF!</definedName>
    <definedName name="anscount" hidden="1">1</definedName>
    <definedName name="_xlnm.Print_Area" localSheetId="7">'Dados Operacionais'!$A$1:$K$48</definedName>
    <definedName name="_xlnm.Print_Area" localSheetId="6">'Principais Num'!$A$1:$M$50</definedName>
    <definedName name="ARs" localSheetId="5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ARs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as" hidden="1">#REF!</definedName>
    <definedName name="AS2DocOpenMode" hidden="1">"AS2DocumentEdit"</definedName>
    <definedName name="AS2NamedRange" hidden="1">16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K">#REF!</definedName>
    <definedName name="BalType" hidden="1">TRUE</definedName>
    <definedName name="Bancos" localSheetId="5">#REF!</definedName>
    <definedName name="Bancos">#REF!</definedName>
    <definedName name="BAR" localSheetId="5">#REF!</definedName>
    <definedName name="BAR">#REF!</definedName>
    <definedName name="BBBBIBBIBI" localSheetId="5" hidden="1">#REF!</definedName>
    <definedName name="BBBBIBBIBI" hidden="1">#REF!</definedName>
    <definedName name="BDN" localSheetId="5">#REF!</definedName>
    <definedName name="BDN">#REF!</definedName>
    <definedName name="BG_Del" hidden="1">15</definedName>
    <definedName name="BG_Ins" hidden="1">4</definedName>
    <definedName name="BG_Mod" hidden="1">6</definedName>
    <definedName name="BID" localSheetId="5">#REF!</definedName>
    <definedName name="BID">#REF!</definedName>
    <definedName name="BISCBRIBI" localSheetId="5" hidden="1">#REF!</definedName>
    <definedName name="BISCBRIBI" hidden="1">#REF!</definedName>
    <definedName name="BLPI1" localSheetId="5" hidden="1">#REF!</definedName>
    <definedName name="BLPI1" hidden="1">#REF!</definedName>
    <definedName name="BLPI10" localSheetId="5" hidden="1">#REF!</definedName>
    <definedName name="BLPI10" hidden="1">#REF!</definedName>
    <definedName name="BLPI11" localSheetId="5" hidden="1">#REF!</definedName>
    <definedName name="BLPI11" hidden="1">#REF!</definedName>
    <definedName name="BLPI13" localSheetId="5" hidden="1">#REF!</definedName>
    <definedName name="BLPI13" hidden="1">#REF!</definedName>
    <definedName name="BLPI14" localSheetId="5" hidden="1">#REF!</definedName>
    <definedName name="BLPI14" hidden="1">#REF!</definedName>
    <definedName name="BLPI15" localSheetId="5" hidden="1">#REF!</definedName>
    <definedName name="BLPI15" hidden="1">#REF!</definedName>
    <definedName name="BLPI16" localSheetId="5" hidden="1">#REF!</definedName>
    <definedName name="BLPI16" hidden="1">#REF!</definedName>
    <definedName name="BLPI17" localSheetId="5" hidden="1">#REF!</definedName>
    <definedName name="BLPI17" hidden="1">#REF!</definedName>
    <definedName name="BLPI18" localSheetId="5" hidden="1">#REF!</definedName>
    <definedName name="BLPI18" hidden="1">#REF!</definedName>
    <definedName name="BLPI19" localSheetId="5" hidden="1">#REF!</definedName>
    <definedName name="BLPI19" hidden="1">#REF!</definedName>
    <definedName name="BLPI2" localSheetId="5" hidden="1">#REF!</definedName>
    <definedName name="BLPI2" hidden="1">#REF!</definedName>
    <definedName name="BLPI20" localSheetId="5" hidden="1">#REF!</definedName>
    <definedName name="BLPI20" hidden="1">#REF!</definedName>
    <definedName name="BLPI3" localSheetId="5" hidden="1">#REF!</definedName>
    <definedName name="BLPI3" hidden="1">#REF!</definedName>
    <definedName name="BLPI4" localSheetId="5" hidden="1">#REF!</definedName>
    <definedName name="BLPI4" hidden="1">#REF!</definedName>
    <definedName name="BLPI5" localSheetId="5" hidden="1">#REF!</definedName>
    <definedName name="BLPI5" hidden="1">#REF!</definedName>
    <definedName name="BLPI6" localSheetId="5" hidden="1">#REF!</definedName>
    <definedName name="BLPI6" hidden="1">#REF!</definedName>
    <definedName name="BLPI7" localSheetId="5" hidden="1">#REF!</definedName>
    <definedName name="BLPI7" hidden="1">#REF!</definedName>
    <definedName name="BLPI8" localSheetId="5" hidden="1">#REF!</definedName>
    <definedName name="BLPI8" hidden="1">#REF!</definedName>
    <definedName name="BLPI9" localSheetId="5" hidden="1">#REF!</definedName>
    <definedName name="BLPI9" hidden="1">#REF!</definedName>
    <definedName name="BRferiados">#REF!</definedName>
    <definedName name="BRL_DU">#REF!</definedName>
    <definedName name="BRL_PU">#REF!</definedName>
    <definedName name="BRUSFeriados" localSheetId="5">#REF!</definedName>
    <definedName name="BRUSFeriados">#REF!</definedName>
    <definedName name="BUBUOB" localSheetId="5" hidden="1">#REF!</definedName>
    <definedName name="BUBUOB" hidden="1">#REF!</definedName>
    <definedName name="BULA" localSheetId="5">#REF!</definedName>
    <definedName name="BULA">#REF!</definedName>
    <definedName name="Calendario" localSheetId="5">#REF!</definedName>
    <definedName name="Calendario">#REF!</definedName>
    <definedName name="carol" localSheetId="5" hidden="1">#REF!</definedName>
    <definedName name="carol" hidden="1">#REF!</definedName>
    <definedName name="cbs" localSheetId="5" hidden="1">{#N/A,#N/A,FALSE,"IRENDA"}</definedName>
    <definedName name="cbs" hidden="1">{#N/A,#N/A,FALSE,"IRENDA"}</definedName>
    <definedName name="cdimedio">#REF!</definedName>
    <definedName name="CEF" hidden="1">#REF!</definedName>
    <definedName name="chartTableData" localSheetId="5">#REF!</definedName>
    <definedName name="chartTableData">#REF!</definedName>
    <definedName name="chartTableHeader" localSheetId="5">#REF!</definedName>
    <definedName name="chartTableHeader">#REF!</definedName>
    <definedName name="chartTableName" localSheetId="5">#REF!</definedName>
    <definedName name="chartTableName">#REF!</definedName>
    <definedName name="chartTableTotal" localSheetId="5">#REF!</definedName>
    <definedName name="chartTableTotal">#REF!</definedName>
    <definedName name="CIQWBGuid" hidden="1">"24ea4f91-d61c-402f-94e2-aebe38d779bf"</definedName>
    <definedName name="controle" localSheetId="5" hidden="1">{"'Sheet1'!$A$1:$H$145"}</definedName>
    <definedName name="controle" hidden="1">{"'Sheet1'!$A$1:$H$145"}</definedName>
    <definedName name="CRONO_FABI">#REF!</definedName>
    <definedName name="Cupom_1_Vcto">#REF!</definedName>
    <definedName name="CURVA">#REF!</definedName>
    <definedName name="CvImm">#REF!</definedName>
    <definedName name="Cvlmm">#REF!</definedName>
    <definedName name="DAT" localSheetId="5">#REF!</definedName>
    <definedName name="DAT">#REF!</definedName>
    <definedName name="DEHUQV2" localSheetId="5" hidden="1">#REF!</definedName>
    <definedName name="DEHUQV2" hidden="1">#REF!</definedName>
    <definedName name="DHEHF" localSheetId="5" hidden="1">#REF!</definedName>
    <definedName name="DHEHF" hidden="1">#REF!</definedName>
    <definedName name="DIGITAR" localSheetId="5">#REF!</definedName>
    <definedName name="DIGITAR">#REF!</definedName>
    <definedName name="DU_BRL">#REF!</definedName>
    <definedName name="EBXWCYB" hidden="1">#REF!</definedName>
    <definedName name="ee" localSheetId="5">#REF!</definedName>
    <definedName name="ee">#REF!</definedName>
    <definedName name="ejfor" localSheetId="5" hidden="1">#REF!</definedName>
    <definedName name="ejfor" hidden="1">#REF!</definedName>
    <definedName name="EMp" localSheetId="5" hidden="1">#REF!</definedName>
    <definedName name="EMp" hidden="1">#REF!</definedName>
    <definedName name="eorjwfafc" localSheetId="5" hidden="1">#REF!</definedName>
    <definedName name="eorjwfafc" hidden="1">#REF!</definedName>
    <definedName name="euro" localSheetId="5">#REF!</definedName>
    <definedName name="euro">#REF!</definedName>
    <definedName name="ev.Calculation" hidden="1">2</definedName>
    <definedName name="ev.Initialized" hidden="1">FALSE</definedName>
    <definedName name="exposi" localSheetId="5" hidden="1">#REF!</definedName>
    <definedName name="exposi" hidden="1">#REF!</definedName>
    <definedName name="Exposição" localSheetId="5">#REF!</definedName>
    <definedName name="Exposição">#REF!</definedName>
    <definedName name="exposicaocamibail" localSheetId="5" hidden="1">#REF!</definedName>
    <definedName name="exposicaocamibail" hidden="1">#REF!</definedName>
    <definedName name="fau" localSheetId="5" hidden="1">#REF!</definedName>
    <definedName name="fau" hidden="1">#REF!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g" hidden="1">#REF!</definedName>
    <definedName name="fer">#REF!</definedName>
    <definedName name="Ferbr_2">#REF!</definedName>
    <definedName name="Feriado">#REF!</definedName>
    <definedName name="FERIADOS">#REF!</definedName>
    <definedName name="Feriados_BZ">#REF!</definedName>
    <definedName name="filterValues" localSheetId="5">#REF!</definedName>
    <definedName name="filterValues">#REF!</definedName>
    <definedName name="Fluxo" localSheetId="5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Fluxo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França" hidden="1">#REF!</definedName>
    <definedName name="French" hidden="1">#REF!</definedName>
    <definedName name="Goiás" localSheetId="5" hidden="1">{"'Sheet1'!$A$1:$H$145"}</definedName>
    <definedName name="Goiás" hidden="1">{"'Sheet1'!$A$1:$H$145"}</definedName>
    <definedName name="GraphB" hidden="1">#REF!</definedName>
    <definedName name="GrpAcct1" hidden="1">"Blank (325)"</definedName>
    <definedName name="GrpAcct2" hidden="1">"1.1.6.02"</definedName>
    <definedName name="GrpLevel" hidden="1">2</definedName>
    <definedName name="Guaraniana" hidden="1">#REF!</definedName>
    <definedName name="H" localSheetId="5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H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Hedge" hidden="1">#REF!</definedName>
    <definedName name="hedger" localSheetId="5" hidden="1">#REF!</definedName>
    <definedName name="hedger" hidden="1">#REF!</definedName>
    <definedName name="Hedges" localSheetId="5" hidden="1">#REF!</definedName>
    <definedName name="Hedges" hidden="1">#REF!</definedName>
    <definedName name="HIG" localSheetId="5">#REF!</definedName>
    <definedName name="HIG">#REF!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OJE">#REF!</definedName>
    <definedName name="HTML_CodePage" hidden="1">1252</definedName>
    <definedName name="HTML_Control" localSheetId="5" hidden="1">{"'Sheet1'!$A$1:$H$145"}</definedName>
    <definedName name="HTML_Control" hidden="1">{"'Sheet1'!$A$1:$H$145"}</definedName>
    <definedName name="HTML_Description" hidden="1">""</definedName>
    <definedName name="HTML_Email" hidden="1">""</definedName>
    <definedName name="HTML_Header" hidden="1">"Country Risk Premiums"</definedName>
    <definedName name="HTML_LastUpdate" hidden="1">"2/19/99"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Mac" hidden="1">"Macintosh HD:HomePageStuff:New_Home_Page:datafile:ctryprem.html"</definedName>
    <definedName name="HTML_Title" hidden="1">"Country Risk Premiums"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idskcmsmp" hidden="1">#REF!</definedName>
    <definedName name="IECBAURWBCI" localSheetId="5" hidden="1">#REF!</definedName>
    <definedName name="IECBAURWBCI" hidden="1">#REF!</definedName>
    <definedName name="imagens">INDEX(#REF!,MATCH(#REF!,#REF!),0)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"c2108"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BRANCHES_U.S._BANKS_LOANS_FDIC" hidden="1">"c6438"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REPAIR" hidden="1">"c2087"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TD" hidden="1">800000</definedName>
    <definedName name="IQ_NAMES_REVISION_DATE_" hidden="1">41590.8486921295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EK" hidden="1">50000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LOW" hidden="1">"c1338"</definedName>
    <definedName name="IQ_YTD" hidden="1">3000</definedName>
    <definedName name="IQ_YTDMONTH" hidden="1">130000</definedName>
    <definedName name="IQ_Z_SCORE" hidden="1">"c1339"</definedName>
    <definedName name="IsColHidden" hidden="1">FALSE</definedName>
    <definedName name="IsLTMColHidden" hidden="1">FALSE</definedName>
    <definedName name="iui" hidden="1">#REF!</definedName>
    <definedName name="jjkdjwpp" hidden="1">#REF!</definedName>
    <definedName name="jwicunri" localSheetId="5" hidden="1">#REF!</definedName>
    <definedName name="jwicunri" hidden="1">#REF!</definedName>
    <definedName name="kokookk" localSheetId="5" hidden="1">#REF!</definedName>
    <definedName name="kokookk" hidden="1">#REF!</definedName>
    <definedName name="lll" hidden="1">2</definedName>
    <definedName name="LOW" localSheetId="5">#REF!</definedName>
    <definedName name="LOW">#REF!</definedName>
    <definedName name="LUIZ" localSheetId="5">#REF!</definedName>
    <definedName name="LUIZ">#REF!</definedName>
    <definedName name="LUIZ3" localSheetId="5">#REF!</definedName>
    <definedName name="LUIZ3">#REF!</definedName>
    <definedName name="Macro1" localSheetId="5">#REF!</definedName>
    <definedName name="Macro1" localSheetId="3">#REF!</definedName>
    <definedName name="Macro1">#REF!</definedName>
    <definedName name="Mapa" localSheetId="5">#REF!</definedName>
    <definedName name="Mapa">#REF!</definedName>
    <definedName name="MarkupBRL" localSheetId="5">#REF!</definedName>
    <definedName name="MarkupBRL">#REF!</definedName>
    <definedName name="MID" localSheetId="5">#REF!</definedName>
    <definedName name="MID">#REF!</definedName>
    <definedName name="MIMISDAPCMRP" localSheetId="5" hidden="1">#REF!</definedName>
    <definedName name="MIMISDAPCMRP" hidden="1">#REF!</definedName>
    <definedName name="mkdsamieqh" localSheetId="5" hidden="1">#REF!</definedName>
    <definedName name="mkdsamieqh" hidden="1">#REF!</definedName>
    <definedName name="mmreeee" localSheetId="5" hidden="1">#REF!</definedName>
    <definedName name="mmreeee" hidden="1">#REF!</definedName>
    <definedName name="Módulo3.exp" localSheetId="5">#REF!</definedName>
    <definedName name="Módulo3.exp" localSheetId="3">#REF!</definedName>
    <definedName name="Módulo3.exp">#REF!</definedName>
    <definedName name="mois" localSheetId="5">#REF!</definedName>
    <definedName name="mois">#REF!</definedName>
    <definedName name="mois04" localSheetId="5">#REF!</definedName>
    <definedName name="mois04">#REF!</definedName>
    <definedName name="moisx" localSheetId="5">#REF!</definedName>
    <definedName name="moisx">#REF!</definedName>
    <definedName name="MV">#REF!</definedName>
    <definedName name="NAME" localSheetId="5" hidden="1">#REF!</definedName>
    <definedName name="NAME" hidden="1">#REF!</definedName>
    <definedName name="nbqciryb" localSheetId="5" hidden="1">#REF!</definedName>
    <definedName name="nbqciryb" hidden="1">#REF!</definedName>
    <definedName name="NDF30062019" localSheetId="5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NDF30062019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nnnnnnnnjjj" hidden="1">#REF!</definedName>
    <definedName name="NumofGrpAccts" hidden="1">1</definedName>
    <definedName name="okoppo" hidden="1">#REF!</definedName>
    <definedName name="oo" localSheetId="5" hidden="1">#REF!</definedName>
    <definedName name="oo" hidden="1">#REF!</definedName>
    <definedName name="OONOUBU" localSheetId="5" hidden="1">#REF!</definedName>
    <definedName name="OONOUBU" hidden="1">#REF!</definedName>
    <definedName name="OPN" localSheetId="5">#REF!</definedName>
    <definedName name="OPN">#REF!</definedName>
    <definedName name="OVER">#REF!</definedName>
    <definedName name="para" localSheetId="5">#REF!</definedName>
    <definedName name="para" localSheetId="3">#REF!</definedName>
    <definedName name="para">#REF!</definedName>
    <definedName name="past" hidden="1">#REF!</definedName>
    <definedName name="pastes" hidden="1">#REF!</definedName>
    <definedName name="phTableData" localSheetId="5">#REF!</definedName>
    <definedName name="phTableData">#REF!</definedName>
    <definedName name="phTableHeader" localSheetId="5">#REF!</definedName>
    <definedName name="phTableHeader">#REF!</definedName>
    <definedName name="phTableName" localSheetId="5">#REF!</definedName>
    <definedName name="phTableName">#REF!</definedName>
    <definedName name="POLCDI" localSheetId="5">#REF!</definedName>
    <definedName name="POLCDI">#REF!</definedName>
    <definedName name="prd">#REF!</definedName>
    <definedName name="pri">#REF!</definedName>
    <definedName name="PRICE_BRL">#REF!</definedName>
    <definedName name="PTAX">#REF!</definedName>
    <definedName name="PTAX_D1">#REF!</definedName>
    <definedName name="PTF" hidden="1">#REF!</definedName>
    <definedName name="PUB_UserID" hidden="1">"MAYERX"</definedName>
    <definedName name="QW4EFR" hidden="1">#REF!</definedName>
    <definedName name="qwucnbwqrcbr" localSheetId="5" hidden="1">#REF!</definedName>
    <definedName name="qwucnbwqrcbr" hidden="1">#REF!</definedName>
    <definedName name="RCF" localSheetId="5">IF(#REF!="RCF",1,0)</definedName>
    <definedName name="RCF">IF(#REF!="RCF",1,0)</definedName>
    <definedName name="renata" localSheetId="5" hidden="1">#REF!</definedName>
    <definedName name="renata" hidden="1">#REF!</definedName>
    <definedName name="res" localSheetId="5" hidden="1">#REF!</definedName>
    <definedName name="res" hidden="1">#REF!</definedName>
    <definedName name="REWREFREEC" localSheetId="5" hidden="1">#REF!</definedName>
    <definedName name="REWREFREEC" hidden="1">#REF!</definedName>
    <definedName name="RJJIMMP" localSheetId="5" hidden="1">#REF!</definedName>
    <definedName name="RJJIMMP" hidden="1">#REF!</definedName>
    <definedName name="Rose" localSheetId="5">#REF!</definedName>
    <definedName name="Rose">#REF!</definedName>
    <definedName name="RowLevel" hidden="1">1</definedName>
    <definedName name="RT" localSheetId="5" hidden="1">#REF!</definedName>
    <definedName name="RT" hidden="1">#REF!</definedName>
    <definedName name="sa">#REF!</definedName>
    <definedName name="SCC_AJUSTE">#REF!</definedName>
    <definedName name="SECARWC" hidden="1">#REF!</definedName>
    <definedName name="sencount" hidden="1">1</definedName>
    <definedName name="sheetHeader">#REF!</definedName>
    <definedName name="shit" localSheetId="5">#REF!</definedName>
    <definedName name="shit">#REF!</definedName>
    <definedName name="sndcairybcy" localSheetId="5" hidden="1">#REF!</definedName>
    <definedName name="sndcairybcy" hidden="1">#REF!</definedName>
    <definedName name="solver_adj" localSheetId="5" hidden="1">#REF!</definedName>
    <definedName name="solver_adj" hidden="1">#REF!</definedName>
    <definedName name="solver_opt" localSheetId="5" hidden="1">#REF!</definedName>
    <definedName name="solver_opt" hidden="1">#REF!</definedName>
    <definedName name="SPOT">#REF!</definedName>
    <definedName name="SSSSSSSSSSSS" localSheetId="5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SSSSSSSSSSSS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statPriceChangeTableData">#REF!</definedName>
    <definedName name="statPriceChangeTableHeader" localSheetId="5">#REF!</definedName>
    <definedName name="statPriceChangeTableHeader">#REF!</definedName>
    <definedName name="statPriceTableData" localSheetId="5">#REF!</definedName>
    <definedName name="statPriceTableData">#REF!</definedName>
    <definedName name="statPriceTableHeader" localSheetId="5">#REF!</definedName>
    <definedName name="statPriceTableHeader">#REF!</definedName>
    <definedName name="statTableName" localSheetId="5">#REF!</definedName>
    <definedName name="statTableName">#REF!</definedName>
    <definedName name="statUpDownTableData" localSheetId="5">#REF!</definedName>
    <definedName name="statUpDownTableData">#REF!</definedName>
    <definedName name="statUpDownTableHeader" localSheetId="5">#REF!</definedName>
    <definedName name="statUpDownTableHeader">#REF!</definedName>
    <definedName name="statVolumeTableData" localSheetId="5">#REF!</definedName>
    <definedName name="statVolumeTableData">#REF!</definedName>
    <definedName name="statVolumeTableHeader" localSheetId="5">#REF!</definedName>
    <definedName name="statVolumeTableHeader">#REF!</definedName>
    <definedName name="Tab_IR">#REF!</definedName>
    <definedName name="Tabela" localSheetId="5">#REF!</definedName>
    <definedName name="Tabela">#REF!</definedName>
    <definedName name="TBdbName" hidden="1">"88B140104E3F11D3B91E08005A3BC3FF.mdb"</definedName>
    <definedName name="TDolar">#REF!</definedName>
    <definedName name="te" localSheetId="5" hidden="1">#REF!</definedName>
    <definedName name="te" hidden="1">#REF!</definedName>
    <definedName name="teste" localSheetId="5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teste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TextRefCopyRangeCount" hidden="1">4</definedName>
    <definedName name="tingo" localSheetId="5">#REF!</definedName>
    <definedName name="tingo" localSheetId="3">#REF!</definedName>
    <definedName name="tingo">#REF!</definedName>
    <definedName name="transf.">#REF!</definedName>
    <definedName name="Treais">#REF!</definedName>
    <definedName name="TUP">#REF!</definedName>
    <definedName name="uheufqcbreyb" localSheetId="5" hidden="1">#REF!</definedName>
    <definedName name="uheufqcbreyb" hidden="1">#REF!</definedName>
    <definedName name="USB_DU">#REF!</definedName>
    <definedName name="USB_PU">#REF!</definedName>
    <definedName name="USferiados" localSheetId="5">#REF!</definedName>
    <definedName name="USferiados">#REF!</definedName>
    <definedName name="VC">#REF!</definedName>
    <definedName name="WCRECRE" localSheetId="5" hidden="1">#REF!</definedName>
    <definedName name="WCRECRE" hidden="1">#REF!</definedName>
    <definedName name="wqdq" localSheetId="5" hidden="1">#REF!</definedName>
    <definedName name="wqdq" hidden="1">#REF!</definedName>
    <definedName name="wrn.Aging._.and._.Trend._.Analysis." localSheetId="5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CSOCIAL." localSheetId="5" hidden="1">{#N/A,#N/A,FALSE,"CSOCIAL"}</definedName>
    <definedName name="wrn.CSOCIAL." hidden="1">{#N/A,#N/A,FALSE,"CSOCIAL"}</definedName>
    <definedName name="wrn.EXPENSES._.98._.US." localSheetId="5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9._.REAL." localSheetId="5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hidden="1">{"Reais 99 MKT",#N/A,TRUE,"MKT";"Reais 99 BUSS",#N/A,TRUE,"BusOper";"Reais 99 TECH",#N/A,TRUE,"Tech";"Reais 99 LOCAL",#N/A,TRUE,"LocalProg";"Reais 99 GA",#N/A,TRUE,"G&amp;A";"Reais 99 CONSOL",#N/A,TRUE,"Consolidate"}</definedName>
    <definedName name="wrn.FINANCIAL._.MONTH." localSheetId="5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S." localSheetId="5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US._.MONTH." localSheetId="5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S." localSheetId="5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IRENDA." localSheetId="5" hidden="1">{#N/A,#N/A,FALSE,"IRENDA"}</definedName>
    <definedName name="wrn.IRENDA." hidden="1">{#N/A,#N/A,FALSE,"IRENDA"}</definedName>
    <definedName name="wrn.PIS." localSheetId="5" hidden="1">{#N/A,#N/A,FALSE,"PIS"}</definedName>
    <definedName name="wrn.PIS." hidden="1">{#N/A,#N/A,FALSE,"PIS"}</definedName>
    <definedName name="wrn.WORK._.PAPER." localSheetId="5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.99." localSheetId="5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x">#REF!</definedName>
    <definedName name="xpaste" hidden="1">#REF!</definedName>
    <definedName name="xpaste1" hidden="1">#REF!</definedName>
    <definedName name="xpaste4" localSheetId="5" hidden="1">#REF!</definedName>
    <definedName name="xpaste4" hidden="1">#REF!</definedName>
    <definedName name="xref" hidden="1">#REF!</definedName>
    <definedName name="XREF_COLUMN_1" localSheetId="5" hidden="1">#REF!</definedName>
    <definedName name="XREF_COLUMN_1" hidden="1">#REF!</definedName>
    <definedName name="XREF_COLUMN_10" localSheetId="5" hidden="1">#REF!</definedName>
    <definedName name="XREF_COLUMN_10" hidden="1">#REF!</definedName>
    <definedName name="XREF_COLUMN_11" localSheetId="5" hidden="1">#REF!</definedName>
    <definedName name="XREF_COLUMN_11" hidden="1">#REF!</definedName>
    <definedName name="XREF_COLUMN_12" localSheetId="5" hidden="1">#REF!</definedName>
    <definedName name="XREF_COLUMN_12" hidden="1">#REF!</definedName>
    <definedName name="XREF_COLUMN_13" localSheetId="5" hidden="1">#REF!</definedName>
    <definedName name="XREF_COLUMN_13" hidden="1">#REF!</definedName>
    <definedName name="XREF_COLUMN_14" localSheetId="5" hidden="1">#REF!</definedName>
    <definedName name="XREF_COLUMN_14" hidden="1">#REF!</definedName>
    <definedName name="XREF_COLUMN_15" localSheetId="5" hidden="1">#REF!</definedName>
    <definedName name="XREF_COLUMN_15" hidden="1">#REF!</definedName>
    <definedName name="XREF_COLUMN_16" localSheetId="5" hidden="1">#REF!</definedName>
    <definedName name="XREF_COLUMN_16" hidden="1">#REF!</definedName>
    <definedName name="XREF_COLUMN_17" hidden="1">#REF!</definedName>
    <definedName name="XREF_COLUMN_18" localSheetId="5" hidden="1">#REF!</definedName>
    <definedName name="XREF_COLUMN_18" hidden="1">#REF!</definedName>
    <definedName name="XREF_COLUMN_19" localSheetId="5" hidden="1">#REF!</definedName>
    <definedName name="XREF_COLUMN_19" hidden="1">#REF!</definedName>
    <definedName name="XREF_COLUMN_2" localSheetId="5" hidden="1">#REF!</definedName>
    <definedName name="XREF_COLUMN_2" hidden="1">#REF!</definedName>
    <definedName name="XREF_COLUMN_20" localSheetId="5" hidden="1">#REF!</definedName>
    <definedName name="XREF_COLUMN_20" hidden="1">#REF!</definedName>
    <definedName name="XREF_COLUMN_21" localSheetId="5" hidden="1">#REF!</definedName>
    <definedName name="XREF_COLUMN_21" hidden="1">#REF!</definedName>
    <definedName name="XREF_COLUMN_22" localSheetId="5" hidden="1">#REF!</definedName>
    <definedName name="XREF_COLUMN_22" hidden="1">#REF!</definedName>
    <definedName name="XREF_COLUMN_23" localSheetId="5" hidden="1">#REF!</definedName>
    <definedName name="XREF_COLUMN_23" hidden="1">#REF!</definedName>
    <definedName name="XREF_COLUMN_24" localSheetId="5" hidden="1">#REF!</definedName>
    <definedName name="XREF_COLUMN_24" hidden="1">#REF!</definedName>
    <definedName name="XREF_COLUMN_25" localSheetId="5" hidden="1">#REF!</definedName>
    <definedName name="XREF_COLUMN_25" hidden="1">#REF!</definedName>
    <definedName name="XREF_COLUMN_26" localSheetId="5" hidden="1">#REF!</definedName>
    <definedName name="XREF_COLUMN_26" hidden="1">#REF!</definedName>
    <definedName name="XREF_COLUMN_27" localSheetId="5" hidden="1">#REF!</definedName>
    <definedName name="XREF_COLUMN_27" hidden="1">#REF!</definedName>
    <definedName name="XREF_COLUMN_28" localSheetId="5" hidden="1">#REF!</definedName>
    <definedName name="XREF_COLUMN_28" hidden="1">#REF!</definedName>
    <definedName name="XREF_COLUMN_3" localSheetId="5" hidden="1">#REF!</definedName>
    <definedName name="XREF_COLUMN_3" hidden="1">#REF!</definedName>
    <definedName name="XREF_COLUMN_30" localSheetId="5" hidden="1">#REF!</definedName>
    <definedName name="XREF_COLUMN_30" hidden="1">#REF!</definedName>
    <definedName name="XREF_COLUMN_31" localSheetId="5" hidden="1">#REF!</definedName>
    <definedName name="XREF_COLUMN_31" hidden="1">#REF!</definedName>
    <definedName name="XREF_COLUMN_32" localSheetId="5" hidden="1">#REF!</definedName>
    <definedName name="XREF_COLUMN_32" hidden="1">#REF!</definedName>
    <definedName name="XREF_COLUMN_33" localSheetId="5" hidden="1">#REF!</definedName>
    <definedName name="XREF_COLUMN_33" hidden="1">#REF!</definedName>
    <definedName name="XREF_COLUMN_34" localSheetId="5" hidden="1">#REF!</definedName>
    <definedName name="XREF_COLUMN_34" hidden="1">#REF!</definedName>
    <definedName name="XREF_COLUMN_36" localSheetId="5" hidden="1">#REF!</definedName>
    <definedName name="XREF_COLUMN_36" hidden="1">#REF!</definedName>
    <definedName name="XREF_COLUMN_39" localSheetId="5" hidden="1">#REF!</definedName>
    <definedName name="XREF_COLUMN_39" hidden="1">#REF!</definedName>
    <definedName name="XREF_COLUMN_4" localSheetId="5" hidden="1">#REF!</definedName>
    <definedName name="XREF_COLUMN_4" hidden="1">#REF!</definedName>
    <definedName name="XREF_COLUMN_42" localSheetId="5" hidden="1">#REF!</definedName>
    <definedName name="XREF_COLUMN_42" hidden="1">#REF!</definedName>
    <definedName name="XREF_COLUMN_46" localSheetId="5" hidden="1">#REF!</definedName>
    <definedName name="XREF_COLUMN_46" hidden="1">#REF!</definedName>
    <definedName name="XREF_COLUMN_47" localSheetId="5" hidden="1">#REF!</definedName>
    <definedName name="XREF_COLUMN_47" hidden="1">#REF!</definedName>
    <definedName name="XREF_COLUMN_48" localSheetId="5" hidden="1">#REF!</definedName>
    <definedName name="XREF_COLUMN_48" hidden="1">#REF!</definedName>
    <definedName name="XREF_COLUMN_49" localSheetId="5" hidden="1">#REF!</definedName>
    <definedName name="XREF_COLUMN_49" hidden="1">#REF!</definedName>
    <definedName name="XREF_COLUMN_5" localSheetId="5" hidden="1">#REF!</definedName>
    <definedName name="XREF_COLUMN_5" hidden="1">#REF!</definedName>
    <definedName name="XREF_COLUMN_50" localSheetId="5" hidden="1">#REF!</definedName>
    <definedName name="XREF_COLUMN_50" hidden="1">#REF!</definedName>
    <definedName name="XREF_COLUMN_51" localSheetId="5" hidden="1">#REF!</definedName>
    <definedName name="XREF_COLUMN_51" hidden="1">#REF!</definedName>
    <definedName name="XREF_COLUMN_52" localSheetId="5" hidden="1">#REF!</definedName>
    <definedName name="XREF_COLUMN_52" hidden="1">#REF!</definedName>
    <definedName name="XREF_COLUMN_53" localSheetId="5" hidden="1">#REF!</definedName>
    <definedName name="XREF_COLUMN_53" hidden="1">#REF!</definedName>
    <definedName name="XREF_COLUMN_6" localSheetId="5" hidden="1">#REF!</definedName>
    <definedName name="XREF_COLUMN_6" hidden="1">#REF!</definedName>
    <definedName name="XREF_COLUMN_7" localSheetId="5" hidden="1">#REF!</definedName>
    <definedName name="XREF_COLUMN_7" hidden="1">#REF!</definedName>
    <definedName name="XREF_COLUMN_8" localSheetId="5" hidden="1">#REF!</definedName>
    <definedName name="XREF_COLUMN_8" hidden="1">#REF!</definedName>
    <definedName name="XREF_COLUMN_9" localSheetId="5" hidden="1">#REF!</definedName>
    <definedName name="XREF_COLUMN_9" hidden="1">#REF!</definedName>
    <definedName name="xref1" localSheetId="5" hidden="1">#REF!</definedName>
    <definedName name="xref1" hidden="1">#REF!</definedName>
    <definedName name="xref2" hidden="1">#REF!</definedName>
    <definedName name="xref3" hidden="1">7</definedName>
    <definedName name="xref4" hidden="1">#REF!</definedName>
    <definedName name="xref5" hidden="1">#REF!</definedName>
    <definedName name="xref6" localSheetId="5" hidden="1">#REF!</definedName>
    <definedName name="xref6" hidden="1">#REF!</definedName>
    <definedName name="xref7" hidden="1">69</definedName>
    <definedName name="xref8" hidden="1">#REF!</definedName>
    <definedName name="xref9" localSheetId="5" hidden="1">#REF!</definedName>
    <definedName name="xref9" hidden="1">#REF!</definedName>
    <definedName name="XRefActiveRow" localSheetId="5" hidden="1">#REF!</definedName>
    <definedName name="XRefActiveRow" hidden="1">#REF!</definedName>
    <definedName name="XRefColumnsCount" hidden="1">8</definedName>
    <definedName name="XRefCopy1" localSheetId="5" hidden="1">#REF!</definedName>
    <definedName name="XRefCopy1" hidden="1">#REF!</definedName>
    <definedName name="XRefCopy10" localSheetId="5" hidden="1">#REF!</definedName>
    <definedName name="XRefCopy10" hidden="1">#REF!</definedName>
    <definedName name="XRefCopy10Row" localSheetId="5" hidden="1">#REF!</definedName>
    <definedName name="XRefCopy10Row" hidden="1">#REF!</definedName>
    <definedName name="XRefCopy11" localSheetId="5" hidden="1">#REF!</definedName>
    <definedName name="XRefCopy11" hidden="1">#REF!</definedName>
    <definedName name="XRefCopy11Row" localSheetId="5" hidden="1">#REF!</definedName>
    <definedName name="XRefCopy11Row" hidden="1">#REF!</definedName>
    <definedName name="XRefCopy12" localSheetId="5" hidden="1">#REF!</definedName>
    <definedName name="XRefCopy12" hidden="1">#REF!</definedName>
    <definedName name="XRefCopy12Row" localSheetId="5" hidden="1">#REF!</definedName>
    <definedName name="XRefCopy12Row" hidden="1">#REF!</definedName>
    <definedName name="XRefCopy13" localSheetId="5" hidden="1">#REF!</definedName>
    <definedName name="XRefCopy13" hidden="1">#REF!</definedName>
    <definedName name="XRefCopy13Row" localSheetId="5" hidden="1">#REF!</definedName>
    <definedName name="XRefCopy13Row" hidden="1">#REF!</definedName>
    <definedName name="XRefCopy14" localSheetId="5" hidden="1">#REF!</definedName>
    <definedName name="XRefCopy14" hidden="1">#REF!</definedName>
    <definedName name="XRefCopy14Row" localSheetId="5" hidden="1">#REF!</definedName>
    <definedName name="XRefCopy14Row" hidden="1">#REF!</definedName>
    <definedName name="XRefCopy15" localSheetId="5" hidden="1">#REF!</definedName>
    <definedName name="XRefCopy15" hidden="1">#REF!</definedName>
    <definedName name="XRefCopy15Row" localSheetId="5" hidden="1">#REF!</definedName>
    <definedName name="XRefCopy15Row" hidden="1">#REF!</definedName>
    <definedName name="XRefCopy16" localSheetId="5" hidden="1">#REF!</definedName>
    <definedName name="XRefCopy16" hidden="1">#REF!</definedName>
    <definedName name="XRefCopy16Row" localSheetId="5" hidden="1">#REF!</definedName>
    <definedName name="XRefCopy16Row" hidden="1">#REF!</definedName>
    <definedName name="XRefCopy17" localSheetId="5" hidden="1">#REF!</definedName>
    <definedName name="XRefCopy17" hidden="1">#REF!</definedName>
    <definedName name="XRefCopy17Row" localSheetId="5" hidden="1">#REF!</definedName>
    <definedName name="XRefCopy17Row" hidden="1">#REF!</definedName>
    <definedName name="XRefCopy18" localSheetId="5" hidden="1">#REF!</definedName>
    <definedName name="XRefCopy18" hidden="1">#REF!</definedName>
    <definedName name="XRefCopy18Row" localSheetId="5" hidden="1">#REF!</definedName>
    <definedName name="XRefCopy18Row" hidden="1">#REF!</definedName>
    <definedName name="XRefCopy19" localSheetId="5" hidden="1">#REF!</definedName>
    <definedName name="XRefCopy19" hidden="1">#REF!</definedName>
    <definedName name="XRefCopy19Row" localSheetId="5" hidden="1">#REF!</definedName>
    <definedName name="XRefCopy19Row" hidden="1">#REF!</definedName>
    <definedName name="XRefCopy1Row" localSheetId="5" hidden="1">#REF!</definedName>
    <definedName name="XRefCopy1Row" hidden="1">#REF!</definedName>
    <definedName name="XRefCopy2" localSheetId="5" hidden="1">#REF!</definedName>
    <definedName name="XRefCopy2" hidden="1">#REF!</definedName>
    <definedName name="XRefCopy20" localSheetId="5" hidden="1">#REF!</definedName>
    <definedName name="XRefCopy20" hidden="1">#REF!</definedName>
    <definedName name="XRefCopy20Row" localSheetId="5" hidden="1">#REF!</definedName>
    <definedName name="XRefCopy20Row" hidden="1">#REF!</definedName>
    <definedName name="XRefCopy21" localSheetId="5" hidden="1">#REF!</definedName>
    <definedName name="XRefCopy21" hidden="1">#REF!</definedName>
    <definedName name="XRefCopy21Row" localSheetId="5" hidden="1">#REF!</definedName>
    <definedName name="XRefCopy21Row" hidden="1">#REF!</definedName>
    <definedName name="XRefCopy22" localSheetId="5" hidden="1">#REF!</definedName>
    <definedName name="XRefCopy22" hidden="1">#REF!</definedName>
    <definedName name="XRefCopy22Row" localSheetId="5" hidden="1">#REF!</definedName>
    <definedName name="XRefCopy22Row" hidden="1">#REF!</definedName>
    <definedName name="XRefCopy23" localSheetId="5" hidden="1">#REF!</definedName>
    <definedName name="XRefCopy23" hidden="1">#REF!</definedName>
    <definedName name="XRefCopy23Row" localSheetId="5" hidden="1">#REF!</definedName>
    <definedName name="XRefCopy23Row" hidden="1">#REF!</definedName>
    <definedName name="XRefCopy24" localSheetId="5" hidden="1">#REF!</definedName>
    <definedName name="XRefCopy24" hidden="1">#REF!</definedName>
    <definedName name="XRefCopy24Row" localSheetId="5" hidden="1">#REF!</definedName>
    <definedName name="XRefCopy24Row" hidden="1">#REF!</definedName>
    <definedName name="XRefCopy25" localSheetId="5" hidden="1">#REF!</definedName>
    <definedName name="XRefCopy25" hidden="1">#REF!</definedName>
    <definedName name="XRefCopy25Row" localSheetId="5" hidden="1">#REF!</definedName>
    <definedName name="XRefCopy25Row" hidden="1">#REF!</definedName>
    <definedName name="XRefCopy26" localSheetId="5" hidden="1">#REF!</definedName>
    <definedName name="XRefCopy26" hidden="1">#REF!</definedName>
    <definedName name="XRefCopy26Row" localSheetId="5" hidden="1">#REF!</definedName>
    <definedName name="XRefCopy26Row" hidden="1">#REF!</definedName>
    <definedName name="XRefCopy27" localSheetId="5" hidden="1">#REF!</definedName>
    <definedName name="XRefCopy27" hidden="1">#REF!</definedName>
    <definedName name="XRefCopy27Row" localSheetId="5" hidden="1">#REF!</definedName>
    <definedName name="XRefCopy27Row" hidden="1">#REF!</definedName>
    <definedName name="XRefCopy28" localSheetId="5" hidden="1">#REF!</definedName>
    <definedName name="XRefCopy28" hidden="1">#REF!</definedName>
    <definedName name="XRefCopy28Row" localSheetId="5" hidden="1">#REF!</definedName>
    <definedName name="XRefCopy28Row" hidden="1">#REF!</definedName>
    <definedName name="XRefCopy29" localSheetId="5" hidden="1">#REF!</definedName>
    <definedName name="XRefCopy29" hidden="1">#REF!</definedName>
    <definedName name="XRefCopy29Row" localSheetId="5" hidden="1">#REF!</definedName>
    <definedName name="XRefCopy29Row" hidden="1">#REF!</definedName>
    <definedName name="XRefCopy3" localSheetId="5" hidden="1">#REF!</definedName>
    <definedName name="XRefCopy3" hidden="1">#REF!</definedName>
    <definedName name="XRefCopy30" localSheetId="5" hidden="1">#REF!</definedName>
    <definedName name="XRefCopy30" hidden="1">#REF!</definedName>
    <definedName name="XRefCopy30Row" localSheetId="5" hidden="1">#REF!</definedName>
    <definedName name="XRefCopy30Row" hidden="1">#REF!</definedName>
    <definedName name="XRefCopy31" localSheetId="5" hidden="1">#REF!</definedName>
    <definedName name="XRefCopy31" hidden="1">#REF!</definedName>
    <definedName name="XRefCopy31Row" localSheetId="5" hidden="1">#REF!</definedName>
    <definedName name="XRefCopy31Row" hidden="1">#REF!</definedName>
    <definedName name="XRefCopy32" localSheetId="5" hidden="1">#REF!</definedName>
    <definedName name="XRefCopy32" hidden="1">#REF!</definedName>
    <definedName name="XRefCopy32Row" localSheetId="5" hidden="1">#REF!</definedName>
    <definedName name="XRefCopy32Row" hidden="1">#REF!</definedName>
    <definedName name="XRefCopy33" localSheetId="5" hidden="1">#REF!</definedName>
    <definedName name="XRefCopy33" hidden="1">#REF!</definedName>
    <definedName name="XRefCopy33Row" localSheetId="5" hidden="1">#REF!</definedName>
    <definedName name="XRefCopy33Row" hidden="1">#REF!</definedName>
    <definedName name="XRefCopy34" localSheetId="5" hidden="1">#REF!</definedName>
    <definedName name="XRefCopy34" hidden="1">#REF!</definedName>
    <definedName name="XRefCopy34Row" localSheetId="5" hidden="1">#REF!</definedName>
    <definedName name="XRefCopy34Row" hidden="1">#REF!</definedName>
    <definedName name="XRefCopy35" localSheetId="5" hidden="1">#REF!</definedName>
    <definedName name="XRefCopy35" hidden="1">#REF!</definedName>
    <definedName name="XRefCopy35Row" localSheetId="5" hidden="1">#REF!</definedName>
    <definedName name="XRefCopy35Row" hidden="1">#REF!</definedName>
    <definedName name="XRefCopy36" localSheetId="5" hidden="1">#REF!</definedName>
    <definedName name="XRefCopy36" hidden="1">#REF!</definedName>
    <definedName name="XRefCopy36Row" localSheetId="5" hidden="1">#REF!</definedName>
    <definedName name="XRefCopy36Row" hidden="1">#REF!</definedName>
    <definedName name="XRefCopy37" localSheetId="5" hidden="1">#REF!</definedName>
    <definedName name="XRefCopy37" hidden="1">#REF!</definedName>
    <definedName name="XRefCopy37Row" localSheetId="5" hidden="1">#REF!</definedName>
    <definedName name="XRefCopy37Row" hidden="1">#REF!</definedName>
    <definedName name="XRefCopy38" localSheetId="5" hidden="1">#REF!</definedName>
    <definedName name="XRefCopy38" hidden="1">#REF!</definedName>
    <definedName name="XRefCopy38Row" localSheetId="5" hidden="1">#REF!</definedName>
    <definedName name="XRefCopy38Row" hidden="1">#REF!</definedName>
    <definedName name="XRefCopy39" localSheetId="5" hidden="1">#REF!</definedName>
    <definedName name="XRefCopy39" hidden="1">#REF!</definedName>
    <definedName name="XRefCopy39Row" localSheetId="5" hidden="1">#REF!</definedName>
    <definedName name="XRefCopy39Row" hidden="1">#REF!</definedName>
    <definedName name="XRefCopy3Row" localSheetId="5" hidden="1">#REF!</definedName>
    <definedName name="XRefCopy3Row" hidden="1">#REF!</definedName>
    <definedName name="XRefCopy4" localSheetId="5" hidden="1">#REF!</definedName>
    <definedName name="XRefCopy4" hidden="1">#REF!</definedName>
    <definedName name="XRefCopy40" localSheetId="5" hidden="1">#REF!</definedName>
    <definedName name="XRefCopy40" hidden="1">#REF!</definedName>
    <definedName name="XRefCopy40Row" localSheetId="5" hidden="1">#REF!</definedName>
    <definedName name="XRefCopy40Row" hidden="1">#REF!</definedName>
    <definedName name="XRefCopy41" localSheetId="5" hidden="1">#REF!</definedName>
    <definedName name="XRefCopy41" hidden="1">#REF!</definedName>
    <definedName name="XRefCopy41Row" localSheetId="5" hidden="1">#REF!</definedName>
    <definedName name="XRefCopy41Row" hidden="1">#REF!</definedName>
    <definedName name="XRefCopy42" localSheetId="5" hidden="1">#REF!</definedName>
    <definedName name="XRefCopy42" hidden="1">#REF!</definedName>
    <definedName name="XRefCopy42Row" localSheetId="5" hidden="1">#REF!</definedName>
    <definedName name="XRefCopy42Row" hidden="1">#REF!</definedName>
    <definedName name="XRefCopy43" localSheetId="5" hidden="1">#REF!</definedName>
    <definedName name="XRefCopy43" hidden="1">#REF!</definedName>
    <definedName name="XRefCopy43Row" localSheetId="5" hidden="1">#REF!</definedName>
    <definedName name="XRefCopy43Row" hidden="1">#REF!</definedName>
    <definedName name="XRefCopy44" localSheetId="5" hidden="1">#REF!</definedName>
    <definedName name="XRefCopy44" hidden="1">#REF!</definedName>
    <definedName name="XRefCopy44Row" localSheetId="5" hidden="1">#REF!</definedName>
    <definedName name="XRefCopy44Row" hidden="1">#REF!</definedName>
    <definedName name="XRefCopy45" localSheetId="5" hidden="1">#REF!</definedName>
    <definedName name="XRefCopy45" hidden="1">#REF!</definedName>
    <definedName name="XRefCopy45Row" localSheetId="5" hidden="1">#REF!</definedName>
    <definedName name="XRefCopy45Row" hidden="1">#REF!</definedName>
    <definedName name="XRefCopy46" localSheetId="5" hidden="1">#REF!</definedName>
    <definedName name="XRefCopy46" hidden="1">#REF!</definedName>
    <definedName name="XRefCopy46Row" localSheetId="5" hidden="1">#REF!</definedName>
    <definedName name="XRefCopy46Row" hidden="1">#REF!</definedName>
    <definedName name="XRefCopy47" localSheetId="5" hidden="1">#REF!</definedName>
    <definedName name="XRefCopy47" hidden="1">#REF!</definedName>
    <definedName name="XRefCopy47Row" localSheetId="5" hidden="1">#REF!</definedName>
    <definedName name="XRefCopy47Row" hidden="1">#REF!</definedName>
    <definedName name="XRefCopy48" localSheetId="5" hidden="1">#REF!</definedName>
    <definedName name="XRefCopy48" hidden="1">#REF!</definedName>
    <definedName name="XRefCopy48Row" localSheetId="5" hidden="1">#REF!</definedName>
    <definedName name="XRefCopy48Row" hidden="1">#REF!</definedName>
    <definedName name="XRefCopy49" localSheetId="5" hidden="1">#REF!</definedName>
    <definedName name="XRefCopy49" hidden="1">#REF!</definedName>
    <definedName name="XRefCopy49Row" localSheetId="5" hidden="1">#REF!</definedName>
    <definedName name="XRefCopy49Row" hidden="1">#REF!</definedName>
    <definedName name="XRefCopy4Row" localSheetId="5" hidden="1">#REF!</definedName>
    <definedName name="XRefCopy4Row" hidden="1">#REF!</definedName>
    <definedName name="XRefCopy5" localSheetId="5" hidden="1">#REF!</definedName>
    <definedName name="XRefCopy5" hidden="1">#REF!</definedName>
    <definedName name="XRefCopy50" localSheetId="5" hidden="1">#REF!</definedName>
    <definedName name="XRefCopy50" hidden="1">#REF!</definedName>
    <definedName name="XRefCopy50Row" localSheetId="5" hidden="1">#REF!</definedName>
    <definedName name="XRefCopy50Row" hidden="1">#REF!</definedName>
    <definedName name="XRefCopy51" localSheetId="5" hidden="1">#REF!</definedName>
    <definedName name="XRefCopy51" hidden="1">#REF!</definedName>
    <definedName name="XRefCopy51Row" localSheetId="5" hidden="1">#REF!</definedName>
    <definedName name="XRefCopy51Row" hidden="1">#REF!</definedName>
    <definedName name="XRefCopy52" localSheetId="5" hidden="1">#REF!</definedName>
    <definedName name="XRefCopy52" hidden="1">#REF!</definedName>
    <definedName name="XRefCopy52Row" localSheetId="5" hidden="1">#REF!</definedName>
    <definedName name="XRefCopy52Row" hidden="1">#REF!</definedName>
    <definedName name="XRefCopy53" localSheetId="5" hidden="1">#REF!</definedName>
    <definedName name="XRefCopy53" hidden="1">#REF!</definedName>
    <definedName name="XRefCopy53Row" localSheetId="5" hidden="1">#REF!</definedName>
    <definedName name="XRefCopy53Row" hidden="1">#REF!</definedName>
    <definedName name="XRefCopy54" localSheetId="5" hidden="1">#REF!</definedName>
    <definedName name="XRefCopy54" hidden="1">#REF!</definedName>
    <definedName name="XRefCopy54Row" localSheetId="5" hidden="1">#REF!</definedName>
    <definedName name="XRefCopy54Row" hidden="1">#REF!</definedName>
    <definedName name="XRefCopy55" localSheetId="5" hidden="1">#REF!</definedName>
    <definedName name="XRefCopy55" hidden="1">#REF!</definedName>
    <definedName name="XRefCopy55Row" localSheetId="5" hidden="1">#REF!</definedName>
    <definedName name="XRefCopy55Row" hidden="1">#REF!</definedName>
    <definedName name="XRefCopy56" localSheetId="5" hidden="1">#REF!</definedName>
    <definedName name="XRefCopy56" hidden="1">#REF!</definedName>
    <definedName name="XRefCopy56Row" localSheetId="5" hidden="1">#REF!</definedName>
    <definedName name="XRefCopy56Row" hidden="1">#REF!</definedName>
    <definedName name="XRefCopy57" localSheetId="5" hidden="1">#REF!</definedName>
    <definedName name="XRefCopy57" hidden="1">#REF!</definedName>
    <definedName name="XRefCopy57Row" localSheetId="5" hidden="1">#REF!</definedName>
    <definedName name="XRefCopy57Row" hidden="1">#REF!</definedName>
    <definedName name="XRefCopy58" localSheetId="5" hidden="1">#REF!</definedName>
    <definedName name="XRefCopy58" hidden="1">#REF!</definedName>
    <definedName name="XRefCopy58Row" localSheetId="5" hidden="1">#REF!</definedName>
    <definedName name="XRefCopy58Row" hidden="1">#REF!</definedName>
    <definedName name="XRefCopy59" localSheetId="5" hidden="1">#REF!</definedName>
    <definedName name="XRefCopy59" hidden="1">#REF!</definedName>
    <definedName name="XRefCopy59Row" localSheetId="5" hidden="1">#REF!</definedName>
    <definedName name="XRefCopy59Row" hidden="1">#REF!</definedName>
    <definedName name="XRefCopy5Row" localSheetId="5" hidden="1">#REF!</definedName>
    <definedName name="XRefCopy5Row" hidden="1">#REF!</definedName>
    <definedName name="XRefCopy6" localSheetId="5" hidden="1">#REF!</definedName>
    <definedName name="XRefCopy6" hidden="1">#REF!</definedName>
    <definedName name="XRefCopy60" localSheetId="5" hidden="1">#REF!</definedName>
    <definedName name="XRefCopy60" hidden="1">#REF!</definedName>
    <definedName name="XRefCopy60Row" localSheetId="5" hidden="1">#REF!</definedName>
    <definedName name="XRefCopy60Row" hidden="1">#REF!</definedName>
    <definedName name="XRefCopy61" localSheetId="5" hidden="1">#REF!</definedName>
    <definedName name="XRefCopy61" hidden="1">#REF!</definedName>
    <definedName name="XRefCopy61Row" localSheetId="5" hidden="1">#REF!</definedName>
    <definedName name="XRefCopy61Row" hidden="1">#REF!</definedName>
    <definedName name="XRefCopy62" localSheetId="5" hidden="1">#REF!</definedName>
    <definedName name="XRefCopy62" hidden="1">#REF!</definedName>
    <definedName name="XRefCopy62Row" localSheetId="5" hidden="1">#REF!</definedName>
    <definedName name="XRefCopy62Row" hidden="1">#REF!</definedName>
    <definedName name="XRefCopy63" localSheetId="5" hidden="1">#REF!</definedName>
    <definedName name="XRefCopy63" hidden="1">#REF!</definedName>
    <definedName name="XRefCopy63Row" localSheetId="5" hidden="1">#REF!</definedName>
    <definedName name="XRefCopy63Row" hidden="1">#REF!</definedName>
    <definedName name="XRefCopy64" localSheetId="5" hidden="1">#REF!</definedName>
    <definedName name="XRefCopy64" hidden="1">#REF!</definedName>
    <definedName name="XRefCopy64Row" localSheetId="5" hidden="1">#REF!</definedName>
    <definedName name="XRefCopy64Row" hidden="1">#REF!</definedName>
    <definedName name="XRefCopy65" localSheetId="5" hidden="1">#REF!</definedName>
    <definedName name="XRefCopy65" hidden="1">#REF!</definedName>
    <definedName name="XRefCopy65Row" localSheetId="5" hidden="1">#REF!</definedName>
    <definedName name="XRefCopy65Row" hidden="1">#REF!</definedName>
    <definedName name="XRefCopy66" localSheetId="5" hidden="1">#REF!</definedName>
    <definedName name="XRefCopy66" hidden="1">#REF!</definedName>
    <definedName name="XRefCopy66Row" localSheetId="5" hidden="1">#REF!</definedName>
    <definedName name="XRefCopy66Row" hidden="1">#REF!</definedName>
    <definedName name="XRefCopy67" localSheetId="5" hidden="1">#REF!</definedName>
    <definedName name="XRefCopy67" hidden="1">#REF!</definedName>
    <definedName name="XRefCopy67Row" localSheetId="5" hidden="1">#REF!</definedName>
    <definedName name="XRefCopy67Row" hidden="1">#REF!</definedName>
    <definedName name="XRefCopy68" localSheetId="5" hidden="1">#REF!</definedName>
    <definedName name="XRefCopy68" hidden="1">#REF!</definedName>
    <definedName name="XRefCopy68Row" localSheetId="5" hidden="1">#REF!</definedName>
    <definedName name="XRefCopy68Row" hidden="1">#REF!</definedName>
    <definedName name="XRefCopy69Row" localSheetId="5" hidden="1">#REF!</definedName>
    <definedName name="XRefCopy69Row" hidden="1">#REF!</definedName>
    <definedName name="XRefCopy6Row" localSheetId="5" hidden="1">#REF!</definedName>
    <definedName name="XRefCopy6Row" hidden="1">#REF!</definedName>
    <definedName name="XRefCopy7" localSheetId="5" hidden="1">#REF!</definedName>
    <definedName name="XRefCopy7" hidden="1">#REF!</definedName>
    <definedName name="XRefCopy70" localSheetId="5" hidden="1">#REF!</definedName>
    <definedName name="XRefCopy70" hidden="1">#REF!</definedName>
    <definedName name="XRefCopy70Row" localSheetId="5" hidden="1">#REF!</definedName>
    <definedName name="XRefCopy70Row" hidden="1">#REF!</definedName>
    <definedName name="XRefCopy71Row" localSheetId="5" hidden="1">#REF!</definedName>
    <definedName name="XRefCopy71Row" hidden="1">#REF!</definedName>
    <definedName name="XRefCopy72" localSheetId="5" hidden="1">#REF!</definedName>
    <definedName name="XRefCopy72" hidden="1">#REF!</definedName>
    <definedName name="XRefCopy72Row" localSheetId="5" hidden="1">#REF!</definedName>
    <definedName name="XRefCopy72Row" hidden="1">#REF!</definedName>
    <definedName name="XRefCopy73" localSheetId="5" hidden="1">#REF!</definedName>
    <definedName name="XRefCopy73" hidden="1">#REF!</definedName>
    <definedName name="XRefCopy73Row" localSheetId="5" hidden="1">#REF!</definedName>
    <definedName name="XRefCopy73Row" hidden="1">#REF!</definedName>
    <definedName name="XRefCopy74" localSheetId="5" hidden="1">#REF!</definedName>
    <definedName name="XRefCopy74" hidden="1">#REF!</definedName>
    <definedName name="XRefCopy74Row" localSheetId="5" hidden="1">#REF!</definedName>
    <definedName name="XRefCopy74Row" hidden="1">#REF!</definedName>
    <definedName name="XRefCopy75" localSheetId="5" hidden="1">#REF!</definedName>
    <definedName name="XRefCopy75" hidden="1">#REF!</definedName>
    <definedName name="XRefCopy75Row" localSheetId="5" hidden="1">#REF!</definedName>
    <definedName name="XRefCopy75Row" hidden="1">#REF!</definedName>
    <definedName name="XRefCopy76" localSheetId="5" hidden="1">#REF!</definedName>
    <definedName name="XRefCopy76" hidden="1">#REF!</definedName>
    <definedName name="XRefCopy76Row" localSheetId="5" hidden="1">#REF!</definedName>
    <definedName name="XRefCopy76Row" hidden="1">#REF!</definedName>
    <definedName name="XRefCopy77" localSheetId="5" hidden="1">#REF!</definedName>
    <definedName name="XRefCopy77" hidden="1">#REF!</definedName>
    <definedName name="XRefCopy77Row" localSheetId="5" hidden="1">#REF!</definedName>
    <definedName name="XRefCopy77Row" hidden="1">#REF!</definedName>
    <definedName name="XRefCopy78" localSheetId="5" hidden="1">#REF!</definedName>
    <definedName name="XRefCopy78" hidden="1">#REF!</definedName>
    <definedName name="XRefCopy78Row" localSheetId="5" hidden="1">#REF!</definedName>
    <definedName name="XRefCopy78Row" hidden="1">#REF!</definedName>
    <definedName name="XRefCopy79" localSheetId="5" hidden="1">#REF!</definedName>
    <definedName name="XRefCopy79" hidden="1">#REF!</definedName>
    <definedName name="XRefCopy79Row" localSheetId="5" hidden="1">#REF!</definedName>
    <definedName name="XRefCopy79Row" hidden="1">#REF!</definedName>
    <definedName name="XRefCopy7Row" localSheetId="5" hidden="1">#REF!</definedName>
    <definedName name="XRefCopy7Row" hidden="1">#REF!</definedName>
    <definedName name="XRefCopy8" localSheetId="5" hidden="1">#REF!</definedName>
    <definedName name="XRefCopy8" hidden="1">#REF!</definedName>
    <definedName name="XRefCopy80" localSheetId="5" hidden="1">#REF!</definedName>
    <definedName name="XRefCopy80" hidden="1">#REF!</definedName>
    <definedName name="XRefCopy80Row" localSheetId="5" hidden="1">#REF!</definedName>
    <definedName name="XRefCopy80Row" hidden="1">#REF!</definedName>
    <definedName name="XRefCopy81" localSheetId="5" hidden="1">#REF!</definedName>
    <definedName name="XRefCopy81" hidden="1">#REF!</definedName>
    <definedName name="XRefCopy81Row" localSheetId="5" hidden="1">#REF!</definedName>
    <definedName name="XRefCopy81Row" hidden="1">#REF!</definedName>
    <definedName name="XRefCopy82Row" localSheetId="5" hidden="1">#REF!</definedName>
    <definedName name="XRefCopy82Row" hidden="1">#REF!</definedName>
    <definedName name="XRefCopy83" localSheetId="5" hidden="1">#REF!</definedName>
    <definedName name="XRefCopy83" hidden="1">#REF!</definedName>
    <definedName name="XRefCopy83Row" localSheetId="5" hidden="1">#REF!</definedName>
    <definedName name="XRefCopy83Row" hidden="1">#REF!</definedName>
    <definedName name="XRefCopy84" localSheetId="5" hidden="1">#REF!</definedName>
    <definedName name="XRefCopy84" hidden="1">#REF!</definedName>
    <definedName name="XRefCopy84Row" localSheetId="5" hidden="1">#REF!</definedName>
    <definedName name="XRefCopy84Row" hidden="1">#REF!</definedName>
    <definedName name="XRefCopy85" localSheetId="5" hidden="1">#REF!</definedName>
    <definedName name="XRefCopy85" hidden="1">#REF!</definedName>
    <definedName name="XRefCopy85Row" localSheetId="5" hidden="1">#REF!</definedName>
    <definedName name="XRefCopy85Row" hidden="1">#REF!</definedName>
    <definedName name="XRefCopy86" localSheetId="5" hidden="1">#REF!</definedName>
    <definedName name="XRefCopy86" hidden="1">#REF!</definedName>
    <definedName name="XRefCopy87" localSheetId="5" hidden="1">#REF!</definedName>
    <definedName name="XRefCopy87" hidden="1">#REF!</definedName>
    <definedName name="XRefCopy87Row" localSheetId="5" hidden="1">#REF!</definedName>
    <definedName name="XRefCopy87Row" hidden="1">#REF!</definedName>
    <definedName name="XRefCopy88" localSheetId="5" hidden="1">#REF!</definedName>
    <definedName name="XRefCopy88" hidden="1">#REF!</definedName>
    <definedName name="XRefCopy88Row" localSheetId="5" hidden="1">#REF!</definedName>
    <definedName name="XRefCopy88Row" hidden="1">#REF!</definedName>
    <definedName name="XRefCopy89" localSheetId="5" hidden="1">#REF!</definedName>
    <definedName name="XRefCopy89" hidden="1">#REF!</definedName>
    <definedName name="XRefCopy89Row" localSheetId="5" hidden="1">#REF!</definedName>
    <definedName name="XRefCopy89Row" hidden="1">#REF!</definedName>
    <definedName name="XRefCopy8Row" localSheetId="5" hidden="1">#REF!</definedName>
    <definedName name="XRefCopy8Row" hidden="1">#REF!</definedName>
    <definedName name="XRefCopy9" localSheetId="5" hidden="1">#REF!</definedName>
    <definedName name="XRefCopy9" hidden="1">#REF!</definedName>
    <definedName name="XRefCopy90" localSheetId="5" hidden="1">#REF!</definedName>
    <definedName name="XRefCopy90" hidden="1">#REF!</definedName>
    <definedName name="XRefCopy90Row" localSheetId="5" hidden="1">#REF!</definedName>
    <definedName name="XRefCopy90Row" hidden="1">#REF!</definedName>
    <definedName name="XRefCopy91" localSheetId="5" hidden="1">#REF!</definedName>
    <definedName name="XRefCopy91" hidden="1">#REF!</definedName>
    <definedName name="XRefCopy91Row" localSheetId="5" hidden="1">#REF!</definedName>
    <definedName name="XRefCopy91Row" hidden="1">#REF!</definedName>
    <definedName name="XRefCopy92" localSheetId="5" hidden="1">#REF!</definedName>
    <definedName name="XRefCopy92" hidden="1">#REF!</definedName>
    <definedName name="XRefCopy92Row" localSheetId="5" hidden="1">#REF!</definedName>
    <definedName name="XRefCopy92Row" hidden="1">#REF!</definedName>
    <definedName name="XRefCopy93" localSheetId="5" hidden="1">#REF!</definedName>
    <definedName name="XRefCopy93" hidden="1">#REF!</definedName>
    <definedName name="XRefCopy93Row" localSheetId="5" hidden="1">#REF!</definedName>
    <definedName name="XRefCopy93Row" hidden="1">#REF!</definedName>
    <definedName name="XRefCopy94" localSheetId="5" hidden="1">#REF!</definedName>
    <definedName name="XRefCopy94" hidden="1">#REF!</definedName>
    <definedName name="XRefCopy94Row" localSheetId="5" hidden="1">#REF!</definedName>
    <definedName name="XRefCopy94Row" hidden="1">#REF!</definedName>
    <definedName name="XRefCopy95" localSheetId="5" hidden="1">#REF!</definedName>
    <definedName name="XRefCopy95" hidden="1">#REF!</definedName>
    <definedName name="XRefCopy95Row" localSheetId="5" hidden="1">#REF!</definedName>
    <definedName name="XRefCopy95Row" hidden="1">#REF!</definedName>
    <definedName name="XRefCopy96" localSheetId="5" hidden="1">#REF!</definedName>
    <definedName name="XRefCopy96" hidden="1">#REF!</definedName>
    <definedName name="XRefCopy96Row" localSheetId="5" hidden="1">#REF!</definedName>
    <definedName name="XRefCopy96Row" hidden="1">#REF!</definedName>
    <definedName name="XRefCopy97" localSheetId="5" hidden="1">#REF!</definedName>
    <definedName name="XRefCopy97" hidden="1">#REF!</definedName>
    <definedName name="XRefCopy97Row" localSheetId="5" hidden="1">#REF!</definedName>
    <definedName name="XRefCopy97Row" hidden="1">#REF!</definedName>
    <definedName name="XRefCopy9Row" localSheetId="5" hidden="1">#REF!</definedName>
    <definedName name="XRefCopy9Row" hidden="1">#REF!</definedName>
    <definedName name="XRefCopyRangeCount" hidden="1">14</definedName>
    <definedName name="XRefPaste1" localSheetId="5" hidden="1">#REF!</definedName>
    <definedName name="XRefPaste1" hidden="1">#REF!</definedName>
    <definedName name="XRefPaste10" localSheetId="5" hidden="1">#REF!</definedName>
    <definedName name="XRefPaste10" hidden="1">#REF!</definedName>
    <definedName name="XRefPaste100Row" localSheetId="5" hidden="1">#REF!</definedName>
    <definedName name="XRefPaste100Row" hidden="1">#REF!</definedName>
    <definedName name="XRefPaste101" localSheetId="5" hidden="1">#REF!</definedName>
    <definedName name="XRefPaste101" hidden="1">#REF!</definedName>
    <definedName name="XRefPaste101Row" localSheetId="5" hidden="1">#REF!</definedName>
    <definedName name="XRefPaste101Row" hidden="1">#REF!</definedName>
    <definedName name="XRefPaste102" localSheetId="5" hidden="1">#REF!</definedName>
    <definedName name="XRefPaste102" hidden="1">#REF!</definedName>
    <definedName name="XRefPaste102Row" localSheetId="5" hidden="1">#REF!</definedName>
    <definedName name="XRefPaste102Row" hidden="1">#REF!</definedName>
    <definedName name="XRefPaste103" localSheetId="5" hidden="1">#REF!</definedName>
    <definedName name="XRefPaste103" hidden="1">#REF!</definedName>
    <definedName name="XRefPaste103Row" localSheetId="5" hidden="1">#REF!</definedName>
    <definedName name="XRefPaste103Row" hidden="1">#REF!</definedName>
    <definedName name="XRefPaste104Row" localSheetId="5" hidden="1">#REF!</definedName>
    <definedName name="XRefPaste104Row" hidden="1">#REF!</definedName>
    <definedName name="XRefPaste105Row" localSheetId="5" hidden="1">#REF!</definedName>
    <definedName name="XRefPaste105Row" hidden="1">#REF!</definedName>
    <definedName name="XRefPaste106" localSheetId="5" hidden="1">#REF!</definedName>
    <definedName name="XRefPaste106" hidden="1">#REF!</definedName>
    <definedName name="XRefPaste106Row" localSheetId="5" hidden="1">#REF!</definedName>
    <definedName name="XRefPaste106Row" hidden="1">#REF!</definedName>
    <definedName name="XRefPaste107Row" localSheetId="5" hidden="1">#REF!</definedName>
    <definedName name="XRefPaste107Row" hidden="1">#REF!</definedName>
    <definedName name="XRefPaste108Row" localSheetId="5" hidden="1">#REF!</definedName>
    <definedName name="XRefPaste108Row" hidden="1">#REF!</definedName>
    <definedName name="XRefPaste10Row" localSheetId="5" hidden="1">#REF!</definedName>
    <definedName name="XRefPaste10Row" hidden="1">#REF!</definedName>
    <definedName name="XRefPaste11" localSheetId="5" hidden="1">#REF!</definedName>
    <definedName name="XRefPaste11" hidden="1">#REF!</definedName>
    <definedName name="XRefPaste111Row" localSheetId="5" hidden="1">#REF!</definedName>
    <definedName name="XRefPaste111Row" hidden="1">#REF!</definedName>
    <definedName name="XRefPaste112Row" localSheetId="5" hidden="1">#REF!</definedName>
    <definedName name="XRefPaste112Row" hidden="1">#REF!</definedName>
    <definedName name="XRefPaste117" localSheetId="5" hidden="1">#REF!</definedName>
    <definedName name="XRefPaste117" hidden="1">#REF!</definedName>
    <definedName name="XRefPaste117Row" localSheetId="5" hidden="1">#REF!</definedName>
    <definedName name="XRefPaste117Row" hidden="1">#REF!</definedName>
    <definedName name="XRefPaste118" localSheetId="5" hidden="1">#REF!</definedName>
    <definedName name="XRefPaste118" hidden="1">#REF!</definedName>
    <definedName name="XRefPaste118Row" localSheetId="5" hidden="1">#REF!</definedName>
    <definedName name="XRefPaste118Row" hidden="1">#REF!</definedName>
    <definedName name="XRefPaste119" localSheetId="5" hidden="1">#REF!</definedName>
    <definedName name="XRefPaste119" hidden="1">#REF!</definedName>
    <definedName name="XRefPaste119Row" localSheetId="5" hidden="1">#REF!</definedName>
    <definedName name="XRefPaste119Row" hidden="1">#REF!</definedName>
    <definedName name="XRefPaste11Row" localSheetId="5" hidden="1">#REF!</definedName>
    <definedName name="XRefPaste11Row" hidden="1">#REF!</definedName>
    <definedName name="XRefPaste12" localSheetId="5" hidden="1">#REF!</definedName>
    <definedName name="XRefPaste12" hidden="1">#REF!</definedName>
    <definedName name="XRefPaste120" localSheetId="5" hidden="1">#REF!</definedName>
    <definedName name="XRefPaste120" hidden="1">#REF!</definedName>
    <definedName name="XRefPaste120Row" localSheetId="5" hidden="1">#REF!</definedName>
    <definedName name="XRefPaste120Row" hidden="1">#REF!</definedName>
    <definedName name="XRefPaste121Row" localSheetId="5" hidden="1">#REF!</definedName>
    <definedName name="XRefPaste121Row" hidden="1">#REF!</definedName>
    <definedName name="XRefPaste122Row" localSheetId="5" hidden="1">#REF!</definedName>
    <definedName name="XRefPaste122Row" hidden="1">#REF!</definedName>
    <definedName name="XRefPaste123Row" localSheetId="5" hidden="1">#REF!</definedName>
    <definedName name="XRefPaste123Row" hidden="1">#REF!</definedName>
    <definedName name="XRefPaste124Row" localSheetId="5" hidden="1">#REF!</definedName>
    <definedName name="XRefPaste124Row" hidden="1">#REF!</definedName>
    <definedName name="XRefPaste126Row" localSheetId="5" hidden="1">#REF!</definedName>
    <definedName name="XRefPaste126Row" hidden="1">#REF!</definedName>
    <definedName name="XRefPaste127Row" localSheetId="5" hidden="1">#REF!</definedName>
    <definedName name="XRefPaste127Row" hidden="1">#REF!</definedName>
    <definedName name="XRefPaste128Row" localSheetId="5" hidden="1">#REF!</definedName>
    <definedName name="XRefPaste128Row" hidden="1">#REF!</definedName>
    <definedName name="XRefPaste129Row" localSheetId="5" hidden="1">#REF!</definedName>
    <definedName name="XRefPaste129Row" hidden="1">#REF!</definedName>
    <definedName name="XRefPaste12Row" localSheetId="5" hidden="1">#REF!</definedName>
    <definedName name="XRefPaste12Row" hidden="1">#REF!</definedName>
    <definedName name="XRefPaste13" localSheetId="5" hidden="1">#REF!</definedName>
    <definedName name="XRefPaste13" hidden="1">#REF!</definedName>
    <definedName name="XRefPaste130Row" localSheetId="5" hidden="1">#REF!</definedName>
    <definedName name="XRefPaste130Row" hidden="1">#REF!</definedName>
    <definedName name="XRefPaste131Row" localSheetId="5" hidden="1">#REF!</definedName>
    <definedName name="XRefPaste131Row" hidden="1">#REF!</definedName>
    <definedName name="XRefPaste132Row" localSheetId="5" hidden="1">#REF!</definedName>
    <definedName name="XRefPaste132Row" hidden="1">#REF!</definedName>
    <definedName name="XRefPaste133Row" localSheetId="5" hidden="1">#REF!</definedName>
    <definedName name="XRefPaste133Row" hidden="1">#REF!</definedName>
    <definedName name="XRefPaste134Row" localSheetId="5" hidden="1">#REF!</definedName>
    <definedName name="XRefPaste134Row" hidden="1">#REF!</definedName>
    <definedName name="XRefPaste135Row" localSheetId="5" hidden="1">#REF!</definedName>
    <definedName name="XRefPaste135Row" hidden="1">#REF!</definedName>
    <definedName name="XRefPaste136Row" localSheetId="5" hidden="1">#REF!</definedName>
    <definedName name="XRefPaste136Row" hidden="1">#REF!</definedName>
    <definedName name="XRefPaste137Row" localSheetId="5" hidden="1">#REF!</definedName>
    <definedName name="XRefPaste137Row" hidden="1">#REF!</definedName>
    <definedName name="XRefPaste138Row" localSheetId="5" hidden="1">#REF!</definedName>
    <definedName name="XRefPaste138Row" hidden="1">#REF!</definedName>
    <definedName name="XRefPaste139" localSheetId="5" hidden="1">#REF!</definedName>
    <definedName name="XRefPaste139" hidden="1">#REF!</definedName>
    <definedName name="XRefPaste139Row" localSheetId="5" hidden="1">#REF!</definedName>
    <definedName name="XRefPaste139Row" hidden="1">#REF!</definedName>
    <definedName name="XRefPaste13Row" localSheetId="5" hidden="1">#REF!</definedName>
    <definedName name="XRefPaste13Row" hidden="1">#REF!</definedName>
    <definedName name="XRefPaste14" localSheetId="5" hidden="1">#REF!</definedName>
    <definedName name="XRefPaste14" hidden="1">#REF!</definedName>
    <definedName name="XRefPaste14Row" localSheetId="5" hidden="1">#REF!</definedName>
    <definedName name="XRefPaste14Row" hidden="1">#REF!</definedName>
    <definedName name="XRefPaste15" localSheetId="5" hidden="1">#REF!</definedName>
    <definedName name="XRefPaste15" hidden="1">#REF!</definedName>
    <definedName name="XRefPaste15Row" localSheetId="5" hidden="1">#REF!</definedName>
    <definedName name="XRefPaste15Row" hidden="1">#REF!</definedName>
    <definedName name="XRefPaste16" localSheetId="5" hidden="1">#REF!</definedName>
    <definedName name="XRefPaste16" hidden="1">#REF!</definedName>
    <definedName name="XRefPaste16Row" localSheetId="5" hidden="1">#REF!</definedName>
    <definedName name="XRefPaste16Row" hidden="1">#REF!</definedName>
    <definedName name="XRefPaste17" localSheetId="5" hidden="1">#REF!</definedName>
    <definedName name="XRefPaste17" hidden="1">#REF!</definedName>
    <definedName name="XRefPaste17Row" localSheetId="5" hidden="1">#REF!</definedName>
    <definedName name="XRefPaste17Row" hidden="1">#REF!</definedName>
    <definedName name="XRefPaste18" localSheetId="5" hidden="1">#REF!</definedName>
    <definedName name="XRefPaste18" hidden="1">#REF!</definedName>
    <definedName name="XRefPaste18Row" localSheetId="5" hidden="1">#REF!</definedName>
    <definedName name="XRefPaste18Row" hidden="1">#REF!</definedName>
    <definedName name="XRefPaste19" localSheetId="5" hidden="1">#REF!</definedName>
    <definedName name="XRefPaste19" hidden="1">#REF!</definedName>
    <definedName name="XRefPaste19Row" localSheetId="5" hidden="1">#REF!</definedName>
    <definedName name="XRefPaste19Row" hidden="1">#REF!</definedName>
    <definedName name="XRefPaste1Row" localSheetId="5" hidden="1">#REF!</definedName>
    <definedName name="XRefPaste1Row" hidden="1">#REF!</definedName>
    <definedName name="XRefPaste2" localSheetId="5" hidden="1">#REF!</definedName>
    <definedName name="XRefPaste2" hidden="1">#REF!</definedName>
    <definedName name="XRefPaste20" localSheetId="5" hidden="1">#REF!</definedName>
    <definedName name="XRefPaste20" hidden="1">#REF!</definedName>
    <definedName name="XRefPaste20Row" localSheetId="5" hidden="1">#REF!</definedName>
    <definedName name="XRefPaste20Row" hidden="1">#REF!</definedName>
    <definedName name="XRefPaste21" localSheetId="5" hidden="1">#REF!</definedName>
    <definedName name="XRefPaste21" hidden="1">#REF!</definedName>
    <definedName name="XRefPaste21Row" localSheetId="5" hidden="1">#REF!</definedName>
    <definedName name="XRefPaste21Row" hidden="1">#REF!</definedName>
    <definedName name="XRefPaste22" localSheetId="5" hidden="1">#REF!</definedName>
    <definedName name="XRefPaste22" hidden="1">#REF!</definedName>
    <definedName name="XRefPaste22Row" localSheetId="5" hidden="1">#REF!</definedName>
    <definedName name="XRefPaste22Row" hidden="1">#REF!</definedName>
    <definedName name="XRefPaste23" localSheetId="5" hidden="1">#REF!</definedName>
    <definedName name="XRefPaste23" hidden="1">#REF!</definedName>
    <definedName name="XRefPaste23Row" localSheetId="5" hidden="1">#REF!</definedName>
    <definedName name="XRefPaste23Row" hidden="1">#REF!</definedName>
    <definedName name="XRefPaste24" localSheetId="5" hidden="1">#REF!</definedName>
    <definedName name="XRefPaste24" hidden="1">#REF!</definedName>
    <definedName name="XRefPaste24Row" localSheetId="5" hidden="1">#REF!</definedName>
    <definedName name="XRefPaste24Row" hidden="1">#REF!</definedName>
    <definedName name="XRefPaste25" localSheetId="5" hidden="1">#REF!</definedName>
    <definedName name="XRefPaste25" hidden="1">#REF!</definedName>
    <definedName name="XRefPaste25Row" localSheetId="5" hidden="1">#REF!</definedName>
    <definedName name="XRefPaste25Row" hidden="1">#REF!</definedName>
    <definedName name="XRefPaste26" localSheetId="5" hidden="1">#REF!</definedName>
    <definedName name="XRefPaste26" hidden="1">#REF!</definedName>
    <definedName name="XRefPaste26Row" localSheetId="5" hidden="1">#REF!</definedName>
    <definedName name="XRefPaste26Row" hidden="1">#REF!</definedName>
    <definedName name="XRefPaste27" localSheetId="5" hidden="1">#REF!</definedName>
    <definedName name="XRefPaste27" hidden="1">#REF!</definedName>
    <definedName name="XRefPaste27Row" localSheetId="5" hidden="1">#REF!</definedName>
    <definedName name="XRefPaste27Row" hidden="1">#REF!</definedName>
    <definedName name="XRefPaste28" localSheetId="5" hidden="1">#REF!</definedName>
    <definedName name="XRefPaste28" hidden="1">#REF!</definedName>
    <definedName name="XRefPaste28Row" localSheetId="5" hidden="1">#REF!</definedName>
    <definedName name="XRefPaste28Row" hidden="1">#REF!</definedName>
    <definedName name="XRefPaste29" localSheetId="5" hidden="1">#REF!</definedName>
    <definedName name="XRefPaste29" hidden="1">#REF!</definedName>
    <definedName name="XRefPaste29Row" localSheetId="5" hidden="1">#REF!</definedName>
    <definedName name="XRefPaste29Row" hidden="1">#REF!</definedName>
    <definedName name="XRefPaste2Row" localSheetId="5" hidden="1">#REF!</definedName>
    <definedName name="XRefPaste2Row" hidden="1">#REF!</definedName>
    <definedName name="XRefPaste3" localSheetId="5" hidden="1">#REF!</definedName>
    <definedName name="XRefPaste3" hidden="1">#REF!</definedName>
    <definedName name="XRefPaste30" localSheetId="5" hidden="1">#REF!</definedName>
    <definedName name="XRefPaste30" hidden="1">#REF!</definedName>
    <definedName name="XRefPaste30Row" localSheetId="5" hidden="1">#REF!</definedName>
    <definedName name="XRefPaste30Row" hidden="1">#REF!</definedName>
    <definedName name="XRefPaste31" localSheetId="5" hidden="1">#REF!</definedName>
    <definedName name="XRefPaste31" hidden="1">#REF!</definedName>
    <definedName name="XRefPaste31Row" localSheetId="5" hidden="1">#REF!</definedName>
    <definedName name="XRefPaste31Row" hidden="1">#REF!</definedName>
    <definedName name="XRefPaste32" localSheetId="5" hidden="1">#REF!</definedName>
    <definedName name="XRefPaste32" hidden="1">#REF!</definedName>
    <definedName name="XRefPaste32Row" localSheetId="5" hidden="1">#REF!</definedName>
    <definedName name="XRefPaste32Row" hidden="1">#REF!</definedName>
    <definedName name="XRefPaste33" localSheetId="5" hidden="1">#REF!</definedName>
    <definedName name="XRefPaste33" hidden="1">#REF!</definedName>
    <definedName name="XRefPaste33Row" localSheetId="5" hidden="1">#REF!</definedName>
    <definedName name="XRefPaste33Row" hidden="1">#REF!</definedName>
    <definedName name="XRefPaste34" localSheetId="5" hidden="1">#REF!</definedName>
    <definedName name="XRefPaste34" hidden="1">#REF!</definedName>
    <definedName name="XRefPaste34Row" localSheetId="5" hidden="1">#REF!</definedName>
    <definedName name="XRefPaste34Row" hidden="1">#REF!</definedName>
    <definedName name="XRefPaste35" localSheetId="5" hidden="1">#REF!</definedName>
    <definedName name="XRefPaste35" hidden="1">#REF!</definedName>
    <definedName name="XRefPaste35Row" localSheetId="5" hidden="1">#REF!</definedName>
    <definedName name="XRefPaste35Row" hidden="1">#REF!</definedName>
    <definedName name="XRefPaste36" localSheetId="5" hidden="1">#REF!</definedName>
    <definedName name="XRefPaste36" hidden="1">#REF!</definedName>
    <definedName name="XRefPaste36Row" localSheetId="5" hidden="1">#REF!</definedName>
    <definedName name="XRefPaste36Row" hidden="1">#REF!</definedName>
    <definedName name="XRefPaste37" localSheetId="5" hidden="1">#REF!</definedName>
    <definedName name="XRefPaste37" hidden="1">#REF!</definedName>
    <definedName name="XRefPaste37Row" localSheetId="5" hidden="1">#REF!</definedName>
    <definedName name="XRefPaste37Row" hidden="1">#REF!</definedName>
    <definedName name="XRefPaste38" localSheetId="5" hidden="1">#REF!</definedName>
    <definedName name="XRefPaste38" hidden="1">#REF!</definedName>
    <definedName name="XRefPaste38Row" localSheetId="5" hidden="1">#REF!</definedName>
    <definedName name="XRefPaste38Row" hidden="1">#REF!</definedName>
    <definedName name="XRefPaste39" localSheetId="5" hidden="1">#REF!</definedName>
    <definedName name="XRefPaste39" hidden="1">#REF!</definedName>
    <definedName name="XRefPaste39Row" localSheetId="5" hidden="1">#REF!</definedName>
    <definedName name="XRefPaste39Row" hidden="1">#REF!</definedName>
    <definedName name="XRefPaste3Row" localSheetId="5" hidden="1">#REF!</definedName>
    <definedName name="XRefPaste3Row" hidden="1">#REF!</definedName>
    <definedName name="XRefPaste4" localSheetId="5" hidden="1">#REF!</definedName>
    <definedName name="XRefPaste4" hidden="1">#REF!</definedName>
    <definedName name="XRefPaste40" localSheetId="5" hidden="1">#REF!</definedName>
    <definedName name="XRefPaste40" hidden="1">#REF!</definedName>
    <definedName name="XRefPaste40Row" localSheetId="5" hidden="1">#REF!</definedName>
    <definedName name="XRefPaste40Row" hidden="1">#REF!</definedName>
    <definedName name="XRefPaste41" localSheetId="5" hidden="1">#REF!</definedName>
    <definedName name="XRefPaste41" hidden="1">#REF!</definedName>
    <definedName name="XRefPaste41Row" localSheetId="5" hidden="1">#REF!</definedName>
    <definedName name="XRefPaste41Row" hidden="1">#REF!</definedName>
    <definedName name="XRefPaste42" localSheetId="5" hidden="1">#REF!</definedName>
    <definedName name="XRefPaste42" hidden="1">#REF!</definedName>
    <definedName name="XRefPaste42Row" localSheetId="5" hidden="1">#REF!</definedName>
    <definedName name="XRefPaste42Row" hidden="1">#REF!</definedName>
    <definedName name="XRefPaste43" localSheetId="5" hidden="1">#REF!</definedName>
    <definedName name="XRefPaste43" hidden="1">#REF!</definedName>
    <definedName name="XRefPaste43Row" localSheetId="5" hidden="1">#REF!</definedName>
    <definedName name="XRefPaste43Row" hidden="1">#REF!</definedName>
    <definedName name="XRefPaste44" localSheetId="5" hidden="1">#REF!</definedName>
    <definedName name="XRefPaste44" hidden="1">#REF!</definedName>
    <definedName name="XRefPaste44Row" localSheetId="5" hidden="1">#REF!</definedName>
    <definedName name="XRefPaste44Row" hidden="1">#REF!</definedName>
    <definedName name="XRefPaste45" localSheetId="5" hidden="1">#REF!</definedName>
    <definedName name="XRefPaste45" hidden="1">#REF!</definedName>
    <definedName name="XRefPaste45Row" localSheetId="5" hidden="1">#REF!</definedName>
    <definedName name="XRefPaste45Row" hidden="1">#REF!</definedName>
    <definedName name="XRefPaste46" localSheetId="5" hidden="1">#REF!</definedName>
    <definedName name="XRefPaste46" hidden="1">#REF!</definedName>
    <definedName name="XRefPaste46Row" localSheetId="5" hidden="1">#REF!</definedName>
    <definedName name="XRefPaste46Row" hidden="1">#REF!</definedName>
    <definedName name="XRefPaste47" localSheetId="5" hidden="1">#REF!</definedName>
    <definedName name="XRefPaste47" hidden="1">#REF!</definedName>
    <definedName name="XRefPaste47Row" localSheetId="5" hidden="1">#REF!</definedName>
    <definedName name="XRefPaste47Row" hidden="1">#REF!</definedName>
    <definedName name="XRefPaste48" localSheetId="5" hidden="1">#REF!</definedName>
    <definedName name="XRefPaste48" hidden="1">#REF!</definedName>
    <definedName name="XRefPaste48Row" localSheetId="5" hidden="1">#REF!</definedName>
    <definedName name="XRefPaste48Row" hidden="1">#REF!</definedName>
    <definedName name="XRefPaste49" localSheetId="5" hidden="1">#REF!</definedName>
    <definedName name="XRefPaste49" hidden="1">#REF!</definedName>
    <definedName name="XRefPaste49Row" localSheetId="5" hidden="1">#REF!</definedName>
    <definedName name="XRefPaste49Row" hidden="1">#REF!</definedName>
    <definedName name="XRefPaste4Row" localSheetId="5" hidden="1">#REF!</definedName>
    <definedName name="XRefPaste4Row" hidden="1">#REF!</definedName>
    <definedName name="XRefPaste5" localSheetId="5" hidden="1">#REF!</definedName>
    <definedName name="XRefPaste5" hidden="1">#REF!</definedName>
    <definedName name="XRefPaste50" localSheetId="5" hidden="1">#REF!</definedName>
    <definedName name="XRefPaste50" hidden="1">#REF!</definedName>
    <definedName name="XRefPaste50Row" localSheetId="5" hidden="1">#REF!</definedName>
    <definedName name="XRefPaste50Row" hidden="1">#REF!</definedName>
    <definedName name="XRefPaste51" localSheetId="5" hidden="1">#REF!</definedName>
    <definedName name="XRefPaste51" hidden="1">#REF!</definedName>
    <definedName name="XRefPaste51Row" localSheetId="5" hidden="1">#REF!</definedName>
    <definedName name="XRefPaste51Row" hidden="1">#REF!</definedName>
    <definedName name="XRefPaste52" localSheetId="5" hidden="1">#REF!</definedName>
    <definedName name="XRefPaste52" hidden="1">#REF!</definedName>
    <definedName name="XRefPaste52Row" localSheetId="5" hidden="1">#REF!</definedName>
    <definedName name="XRefPaste52Row" hidden="1">#REF!</definedName>
    <definedName name="XRefPaste53" localSheetId="5" hidden="1">#REF!</definedName>
    <definedName name="XRefPaste53" hidden="1">#REF!</definedName>
    <definedName name="XRefPaste53Row" localSheetId="5" hidden="1">#REF!</definedName>
    <definedName name="XRefPaste53Row" hidden="1">#REF!</definedName>
    <definedName name="XRefPaste54" localSheetId="5" hidden="1">#REF!</definedName>
    <definedName name="XRefPaste54" hidden="1">#REF!</definedName>
    <definedName name="XRefPaste54Row" localSheetId="5" hidden="1">#REF!</definedName>
    <definedName name="XRefPaste54Row" hidden="1">#REF!</definedName>
    <definedName name="XRefPaste55" localSheetId="5" hidden="1">#REF!</definedName>
    <definedName name="XRefPaste55" hidden="1">#REF!</definedName>
    <definedName name="XRefPaste55Row" localSheetId="5" hidden="1">#REF!</definedName>
    <definedName name="XRefPaste55Row" hidden="1">#REF!</definedName>
    <definedName name="XRefPaste56" localSheetId="5" hidden="1">#REF!</definedName>
    <definedName name="XRefPaste56" hidden="1">#REF!</definedName>
    <definedName name="XRefPaste56Row" localSheetId="5" hidden="1">#REF!</definedName>
    <definedName name="XRefPaste56Row" hidden="1">#REF!</definedName>
    <definedName name="XRefPaste57" localSheetId="5" hidden="1">#REF!</definedName>
    <definedName name="XRefPaste57" hidden="1">#REF!</definedName>
    <definedName name="XRefPaste57Row" localSheetId="5" hidden="1">#REF!</definedName>
    <definedName name="XRefPaste57Row" hidden="1">#REF!</definedName>
    <definedName name="XRefPaste58" localSheetId="5" hidden="1">#REF!</definedName>
    <definedName name="XRefPaste58" hidden="1">#REF!</definedName>
    <definedName name="XRefPaste58Row" localSheetId="5" hidden="1">#REF!</definedName>
    <definedName name="XRefPaste58Row" hidden="1">#REF!</definedName>
    <definedName name="XRefPaste59" localSheetId="5" hidden="1">#REF!</definedName>
    <definedName name="XRefPaste59" hidden="1">#REF!</definedName>
    <definedName name="XRefPaste59Row" localSheetId="5" hidden="1">#REF!</definedName>
    <definedName name="XRefPaste59Row" hidden="1">#REF!</definedName>
    <definedName name="XRefPaste5Row" localSheetId="5" hidden="1">#REF!</definedName>
    <definedName name="XRefPaste5Row" hidden="1">#REF!</definedName>
    <definedName name="XRefPaste6" localSheetId="5" hidden="1">#REF!</definedName>
    <definedName name="XRefPaste6" hidden="1">#REF!</definedName>
    <definedName name="XRefPaste60" localSheetId="5" hidden="1">#REF!</definedName>
    <definedName name="XRefPaste60" hidden="1">#REF!</definedName>
    <definedName name="XRefPaste60Row" localSheetId="5" hidden="1">#REF!</definedName>
    <definedName name="XRefPaste60Row" hidden="1">#REF!</definedName>
    <definedName name="XRefPaste61" localSheetId="5" hidden="1">#REF!</definedName>
    <definedName name="XRefPaste61" hidden="1">#REF!</definedName>
    <definedName name="XRefPaste61Row" localSheetId="5" hidden="1">#REF!</definedName>
    <definedName name="XRefPaste61Row" hidden="1">#REF!</definedName>
    <definedName name="XRefPaste62" localSheetId="5" hidden="1">#REF!</definedName>
    <definedName name="XRefPaste62" hidden="1">#REF!</definedName>
    <definedName name="XRefPaste62Row" localSheetId="5" hidden="1">#REF!</definedName>
    <definedName name="XRefPaste62Row" hidden="1">#REF!</definedName>
    <definedName name="XRefPaste63" localSheetId="5" hidden="1">#REF!</definedName>
    <definedName name="XRefPaste63" hidden="1">#REF!</definedName>
    <definedName name="XRefPaste63Row" localSheetId="5" hidden="1">#REF!</definedName>
    <definedName name="XRefPaste63Row" hidden="1">#REF!</definedName>
    <definedName name="XRefPaste64" localSheetId="5" hidden="1">#REF!</definedName>
    <definedName name="XRefPaste64" hidden="1">#REF!</definedName>
    <definedName name="XRefPaste64Row" localSheetId="5" hidden="1">#REF!</definedName>
    <definedName name="XRefPaste64Row" hidden="1">#REF!</definedName>
    <definedName name="XRefPaste65" localSheetId="5" hidden="1">#REF!</definedName>
    <definedName name="XRefPaste65" hidden="1">#REF!</definedName>
    <definedName name="XRefPaste65Row" localSheetId="5" hidden="1">#REF!</definedName>
    <definedName name="XRefPaste65Row" hidden="1">#REF!</definedName>
    <definedName name="XRefPaste66" localSheetId="5" hidden="1">#REF!</definedName>
    <definedName name="XRefPaste66" hidden="1">#REF!</definedName>
    <definedName name="XRefPaste66Row" localSheetId="5" hidden="1">#REF!</definedName>
    <definedName name="XRefPaste66Row" hidden="1">#REF!</definedName>
    <definedName name="XRefPaste67" localSheetId="5" hidden="1">#REF!</definedName>
    <definedName name="XRefPaste67" hidden="1">#REF!</definedName>
    <definedName name="XRefPaste67Row" localSheetId="5" hidden="1">#REF!</definedName>
    <definedName name="XRefPaste67Row" hidden="1">#REF!</definedName>
    <definedName name="XRefPaste68" localSheetId="5" hidden="1">#REF!</definedName>
    <definedName name="XRefPaste68" hidden="1">#REF!</definedName>
    <definedName name="XRefPaste68Row" localSheetId="5" hidden="1">#REF!</definedName>
    <definedName name="XRefPaste68Row" hidden="1">#REF!</definedName>
    <definedName name="XRefPaste69" localSheetId="5" hidden="1">#REF!</definedName>
    <definedName name="XRefPaste69" hidden="1">#REF!</definedName>
    <definedName name="XRefPaste69Row" localSheetId="5" hidden="1">#REF!</definedName>
    <definedName name="XRefPaste69Row" hidden="1">#REF!</definedName>
    <definedName name="XRefPaste6Row" localSheetId="5" hidden="1">#REF!</definedName>
    <definedName name="XRefPaste6Row" hidden="1">#REF!</definedName>
    <definedName name="XRefPaste7" localSheetId="5" hidden="1">#REF!</definedName>
    <definedName name="XRefPaste7" hidden="1">#REF!</definedName>
    <definedName name="XRefPaste70" localSheetId="5" hidden="1">#REF!</definedName>
    <definedName name="XRefPaste70" hidden="1">#REF!</definedName>
    <definedName name="XRefPaste70Row" localSheetId="5" hidden="1">#REF!</definedName>
    <definedName name="XRefPaste70Row" hidden="1">#REF!</definedName>
    <definedName name="XRefPaste71" localSheetId="5" hidden="1">#REF!</definedName>
    <definedName name="XRefPaste71" hidden="1">#REF!</definedName>
    <definedName name="XRefPaste71Row" localSheetId="5" hidden="1">#REF!</definedName>
    <definedName name="XRefPaste71Row" hidden="1">#REF!</definedName>
    <definedName name="XRefPaste72" localSheetId="5" hidden="1">#REF!</definedName>
    <definedName name="XRefPaste72" hidden="1">#REF!</definedName>
    <definedName name="XRefPaste72Row" localSheetId="5" hidden="1">#REF!</definedName>
    <definedName name="XRefPaste72Row" hidden="1">#REF!</definedName>
    <definedName name="XRefPaste73" localSheetId="5" hidden="1">#REF!</definedName>
    <definedName name="XRefPaste73" hidden="1">#REF!</definedName>
    <definedName name="XRefPaste73Row" localSheetId="5" hidden="1">#REF!</definedName>
    <definedName name="XRefPaste73Row" hidden="1">#REF!</definedName>
    <definedName name="XRefPaste74" localSheetId="5" hidden="1">#REF!</definedName>
    <definedName name="XRefPaste74" hidden="1">#REF!</definedName>
    <definedName name="XRefPaste74Row" localSheetId="5" hidden="1">#REF!</definedName>
    <definedName name="XRefPaste74Row" hidden="1">#REF!</definedName>
    <definedName name="XRefPaste75" localSheetId="5" hidden="1">#REF!</definedName>
    <definedName name="XRefPaste75" hidden="1">#REF!</definedName>
    <definedName name="XRefPaste75Row" localSheetId="5" hidden="1">#REF!</definedName>
    <definedName name="XRefPaste75Row" hidden="1">#REF!</definedName>
    <definedName name="XRefPaste76" localSheetId="5" hidden="1">#REF!</definedName>
    <definedName name="XRefPaste76" hidden="1">#REF!</definedName>
    <definedName name="XRefPaste76Row" localSheetId="5" hidden="1">#REF!</definedName>
    <definedName name="XRefPaste76Row" hidden="1">#REF!</definedName>
    <definedName name="XRefPaste77" localSheetId="5" hidden="1">#REF!</definedName>
    <definedName name="XRefPaste77" hidden="1">#REF!</definedName>
    <definedName name="XRefPaste77Row" localSheetId="5" hidden="1">#REF!</definedName>
    <definedName name="XRefPaste77Row" hidden="1">#REF!</definedName>
    <definedName name="XRefPaste78" localSheetId="5" hidden="1">#REF!</definedName>
    <definedName name="XRefPaste78" hidden="1">#REF!</definedName>
    <definedName name="XRefPaste78Row" localSheetId="5" hidden="1">#REF!</definedName>
    <definedName name="XRefPaste78Row" hidden="1">#REF!</definedName>
    <definedName name="XRefPaste79" localSheetId="5" hidden="1">#REF!</definedName>
    <definedName name="XRefPaste79" hidden="1">#REF!</definedName>
    <definedName name="XRefPaste79Row" localSheetId="5" hidden="1">#REF!</definedName>
    <definedName name="XRefPaste79Row" hidden="1">#REF!</definedName>
    <definedName name="XRefPaste7Row" localSheetId="5" hidden="1">#REF!</definedName>
    <definedName name="XRefPaste7Row" hidden="1">#REF!</definedName>
    <definedName name="XRefPaste8" localSheetId="5" hidden="1">#REF!</definedName>
    <definedName name="XRefPaste8" hidden="1">#REF!</definedName>
    <definedName name="XRefPaste80" localSheetId="5" hidden="1">#REF!</definedName>
    <definedName name="XRefPaste80" hidden="1">#REF!</definedName>
    <definedName name="XRefPaste80Row" localSheetId="5" hidden="1">#REF!</definedName>
    <definedName name="XRefPaste80Row" hidden="1">#REF!</definedName>
    <definedName name="XRefPaste81" localSheetId="5" hidden="1">#REF!</definedName>
    <definedName name="XRefPaste81" hidden="1">#REF!</definedName>
    <definedName name="XRefPaste81Row" localSheetId="5" hidden="1">#REF!</definedName>
    <definedName name="XRefPaste81Row" hidden="1">#REF!</definedName>
    <definedName name="XRefPaste82" localSheetId="5" hidden="1">#REF!</definedName>
    <definedName name="XRefPaste82" hidden="1">#REF!</definedName>
    <definedName name="XRefPaste82Row" localSheetId="5" hidden="1">#REF!</definedName>
    <definedName name="XRefPaste82Row" hidden="1">#REF!</definedName>
    <definedName name="XRefPaste83" localSheetId="5" hidden="1">#REF!</definedName>
    <definedName name="XRefPaste83" hidden="1">#REF!</definedName>
    <definedName name="XRefPaste83Row" localSheetId="5" hidden="1">#REF!</definedName>
    <definedName name="XRefPaste83Row" hidden="1">#REF!</definedName>
    <definedName name="XRefPaste84" localSheetId="5" hidden="1">#REF!</definedName>
    <definedName name="XRefPaste84" hidden="1">#REF!</definedName>
    <definedName name="XRefPaste84Row" localSheetId="5" hidden="1">#REF!</definedName>
    <definedName name="XRefPaste84Row" hidden="1">#REF!</definedName>
    <definedName name="XRefPaste85" localSheetId="5" hidden="1">#REF!</definedName>
    <definedName name="XRefPaste85" hidden="1">#REF!</definedName>
    <definedName name="XRefPaste85Row" localSheetId="5" hidden="1">#REF!</definedName>
    <definedName name="XRefPaste85Row" hidden="1">#REF!</definedName>
    <definedName name="XRefPaste86" localSheetId="5" hidden="1">#REF!</definedName>
    <definedName name="XRefPaste86" hidden="1">#REF!</definedName>
    <definedName name="XRefPaste86Row" localSheetId="5" hidden="1">#REF!</definedName>
    <definedName name="XRefPaste86Row" hidden="1">#REF!</definedName>
    <definedName name="XRefPaste87" localSheetId="5" hidden="1">#REF!</definedName>
    <definedName name="XRefPaste87" hidden="1">#REF!</definedName>
    <definedName name="XRefPaste87Row" localSheetId="5" hidden="1">#REF!</definedName>
    <definedName name="XRefPaste87Row" hidden="1">#REF!</definedName>
    <definedName name="XRefPaste88Row" localSheetId="5" hidden="1">#REF!</definedName>
    <definedName name="XRefPaste88Row" hidden="1">#REF!</definedName>
    <definedName name="XRefPaste89Row" localSheetId="5" hidden="1">#REF!</definedName>
    <definedName name="XRefPaste89Row" hidden="1">#REF!</definedName>
    <definedName name="XRefPaste8Row" localSheetId="5" hidden="1">#REF!</definedName>
    <definedName name="XRefPaste8Row" hidden="1">#REF!</definedName>
    <definedName name="XRefPaste9" localSheetId="5" hidden="1">#REF!</definedName>
    <definedName name="XRefPaste9" hidden="1">#REF!</definedName>
    <definedName name="XRefPaste90" localSheetId="5" hidden="1">#REF!</definedName>
    <definedName name="XRefPaste90" hidden="1">#REF!</definedName>
    <definedName name="XRefPaste90Row" localSheetId="5" hidden="1">#REF!</definedName>
    <definedName name="XRefPaste90Row" hidden="1">#REF!</definedName>
    <definedName name="XRefPaste91Row" localSheetId="5" hidden="1">#REF!</definedName>
    <definedName name="XRefPaste91Row" hidden="1">#REF!</definedName>
    <definedName name="XRefPaste92Row" localSheetId="5" hidden="1">#REF!</definedName>
    <definedName name="XRefPaste92Row" hidden="1">#REF!</definedName>
    <definedName name="XRefPaste93" localSheetId="5" hidden="1">#REF!</definedName>
    <definedName name="XRefPaste93" hidden="1">#REF!</definedName>
    <definedName name="XRefPaste93Row" localSheetId="5" hidden="1">#REF!</definedName>
    <definedName name="XRefPaste93Row" hidden="1">#REF!</definedName>
    <definedName name="XRefPaste94Row" localSheetId="5" hidden="1">#REF!</definedName>
    <definedName name="XRefPaste94Row" hidden="1">#REF!</definedName>
    <definedName name="XRefPaste95Row" localSheetId="5" hidden="1">#REF!</definedName>
    <definedName name="XRefPaste95Row" hidden="1">#REF!</definedName>
    <definedName name="XRefPaste96Row" hidden="1">#REF!</definedName>
    <definedName name="XRefPaste97Row" hidden="1">#REF!</definedName>
    <definedName name="XRefPaste98Row" hidden="1">#REF!</definedName>
    <definedName name="XRefPaste99Row" localSheetId="5" hidden="1">#REF!</definedName>
    <definedName name="XRefPaste99Row" hidden="1">#REF!</definedName>
    <definedName name="XRefPaste9Row" localSheetId="5" hidden="1">#REF!</definedName>
    <definedName name="XRefPaste9Row" hidden="1">#REF!</definedName>
    <definedName name="XRefPasteRangeCount" hidden="1">35</definedName>
    <definedName name="xrt" localSheetId="5">#REF!</definedName>
    <definedName name="xrt">#REF!</definedName>
    <definedName name="XXXXXX" localSheetId="5" hidden="1">#REF!</definedName>
    <definedName name="XXXXXX" hidden="1">#REF!</definedName>
    <definedName name="zs17_junh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95" i="6" l="1"/>
  <c r="BN100" i="6"/>
  <c r="AI98" i="6"/>
  <c r="AH103" i="6"/>
  <c r="AI53" i="6"/>
  <c r="AI54" i="6"/>
  <c r="AI33" i="6"/>
  <c r="AI36" i="6"/>
  <c r="AI37" i="6"/>
  <c r="AI35" i="6"/>
  <c r="AI34" i="6"/>
  <c r="BR72" i="6"/>
  <c r="BR33" i="6"/>
  <c r="BR28" i="6"/>
  <c r="BR23" i="6"/>
  <c r="AR53" i="5" l="1"/>
  <c r="AI59" i="6"/>
  <c r="AZ34" i="1" l="1"/>
  <c r="AI16" i="6" l="1"/>
  <c r="AI15" i="6"/>
  <c r="AI51" i="6" s="1"/>
  <c r="AI10" i="6"/>
  <c r="AI115" i="6"/>
  <c r="AH115" i="6"/>
  <c r="AI114" i="6"/>
  <c r="AI113" i="6"/>
  <c r="AI111" i="6"/>
  <c r="AH111" i="6"/>
  <c r="AI107" i="6"/>
  <c r="AH107" i="6"/>
  <c r="AI100" i="6"/>
  <c r="AI102" i="6"/>
  <c r="AI103" i="6"/>
  <c r="AI101" i="6"/>
  <c r="AI96" i="6"/>
  <c r="AH100" i="6"/>
  <c r="AI97" i="6"/>
  <c r="AC96" i="6"/>
  <c r="AG96" i="6"/>
  <c r="AH97" i="6"/>
  <c r="AH96" i="6"/>
  <c r="AI90" i="6"/>
  <c r="AI84" i="6"/>
  <c r="AI81" i="6"/>
  <c r="AI79" i="6"/>
  <c r="AI78" i="6"/>
  <c r="AI74" i="6"/>
  <c r="AI70" i="6"/>
  <c r="AI69" i="6"/>
  <c r="AI65" i="6"/>
  <c r="AI64" i="6" s="1"/>
  <c r="AI61" i="6"/>
  <c r="AI62" i="6"/>
  <c r="AI60" i="6"/>
  <c r="AI56" i="6"/>
  <c r="AH56" i="6"/>
  <c r="AI52" i="6"/>
  <c r="AI29" i="6"/>
  <c r="AI30" i="6"/>
  <c r="AI31" i="6"/>
  <c r="AI26" i="6"/>
  <c r="AI43" i="6" s="1"/>
  <c r="AI25" i="6"/>
  <c r="AI42" i="6" s="1"/>
  <c r="AI28" i="6"/>
  <c r="AI24" i="6"/>
  <c r="AI41" i="6" s="1"/>
  <c r="AI17" i="6"/>
  <c r="AI18" i="6"/>
  <c r="AH16" i="6"/>
  <c r="AI12" i="6"/>
  <c r="AI11" i="6"/>
  <c r="AI7" i="6"/>
  <c r="AI6" i="6"/>
  <c r="AH6" i="6"/>
  <c r="AI5" i="6"/>
  <c r="AH5" i="6"/>
  <c r="BR56" i="6"/>
  <c r="AZ21" i="1"/>
  <c r="BR96" i="6"/>
  <c r="BR101" i="6" s="1"/>
  <c r="BR114" i="6"/>
  <c r="BQ114" i="6"/>
  <c r="BR107" i="6"/>
  <c r="BQ107" i="6"/>
  <c r="BR111" i="6"/>
  <c r="BQ111" i="6"/>
  <c r="BR102" i="6"/>
  <c r="BR103" i="6"/>
  <c r="BQ102" i="6"/>
  <c r="BQ101" i="6"/>
  <c r="BQ96" i="6"/>
  <c r="BQ103" i="6"/>
  <c r="BR97" i="6"/>
  <c r="BR98" i="6"/>
  <c r="BQ92" i="6"/>
  <c r="BR90" i="6"/>
  <c r="BR84" i="6"/>
  <c r="BR81" i="6"/>
  <c r="BR78" i="6"/>
  <c r="BR79" i="6"/>
  <c r="BR77" i="6"/>
  <c r="BR74" i="6"/>
  <c r="BQ74" i="6"/>
  <c r="AR86" i="5"/>
  <c r="AR79" i="5"/>
  <c r="AR66" i="5"/>
  <c r="AR81" i="5" s="1"/>
  <c r="AR28" i="4"/>
  <c r="AR27" i="4"/>
  <c r="AR26" i="4"/>
  <c r="AR24" i="4"/>
  <c r="AR20" i="4"/>
  <c r="AR21" i="4"/>
  <c r="AR19" i="4"/>
  <c r="AQ18" i="4"/>
  <c r="AR14" i="4"/>
  <c r="AQ14" i="4"/>
  <c r="AR11" i="4"/>
  <c r="AR12" i="4"/>
  <c r="AR13" i="4"/>
  <c r="AR9" i="4"/>
  <c r="AR10" i="4"/>
  <c r="AR8" i="4"/>
  <c r="AR7" i="4"/>
  <c r="AZ29" i="3"/>
  <c r="AZ27" i="3"/>
  <c r="AY27" i="3"/>
  <c r="AZ20" i="3"/>
  <c r="AZ16" i="3"/>
  <c r="AR15" i="4" s="1"/>
  <c r="AZ15" i="3"/>
  <c r="AZ10" i="3"/>
  <c r="AZ9" i="3"/>
  <c r="AY29" i="3"/>
  <c r="AY34" i="1"/>
  <c r="BR87" i="6"/>
  <c r="BQ56" i="6"/>
  <c r="BR53" i="6"/>
  <c r="BR54" i="6"/>
  <c r="BR70" i="6"/>
  <c r="BR59" i="6"/>
  <c r="BR52" i="6"/>
  <c r="BR51" i="6"/>
  <c r="BR48" i="6"/>
  <c r="BR47" i="6"/>
  <c r="BR46" i="6"/>
  <c r="BR43" i="6"/>
  <c r="BR42" i="6"/>
  <c r="BR41" i="6"/>
  <c r="BR69" i="6"/>
  <c r="BR68" i="6"/>
  <c r="BQ23" i="6"/>
  <c r="BR9" i="6"/>
  <c r="AI9" i="6" s="1"/>
  <c r="AI45" i="6" s="1"/>
  <c r="AI87" i="6" l="1"/>
  <c r="AI47" i="6"/>
  <c r="AI48" i="6"/>
  <c r="AI23" i="6"/>
  <c r="AI68" i="6" s="1"/>
  <c r="AI46" i="6"/>
  <c r="BR20" i="6"/>
  <c r="AI20" i="6" s="1"/>
  <c r="AI57" i="6" s="1"/>
  <c r="AZ19" i="3"/>
  <c r="AI77" i="6"/>
  <c r="BQ100" i="6"/>
  <c r="BR100" i="6"/>
  <c r="BR95" i="6"/>
  <c r="BR115" i="6" s="1"/>
  <c r="BR64" i="6"/>
  <c r="BR45" i="6"/>
  <c r="AI75" i="6" l="1"/>
  <c r="AI67" i="6"/>
  <c r="AI72" i="6"/>
  <c r="AI21" i="6"/>
  <c r="AI82" i="6"/>
  <c r="AI85" i="6"/>
  <c r="BR57" i="6"/>
  <c r="BR82" i="6"/>
  <c r="AI88" i="6"/>
  <c r="AZ23" i="3"/>
  <c r="AR22" i="4" s="1"/>
  <c r="BR92" i="6" s="1"/>
  <c r="AI92" i="6" s="1"/>
  <c r="AI93" i="6" s="1"/>
  <c r="AR18" i="4"/>
  <c r="BR85" i="6"/>
  <c r="BR88" i="6"/>
  <c r="BR75" i="6"/>
  <c r="BR67" i="6"/>
  <c r="BR93" i="6" l="1"/>
  <c r="AL51" i="5"/>
  <c r="BQ98" i="6" l="1"/>
  <c r="BQ97" i="6"/>
  <c r="BQ90" i="6"/>
  <c r="BQ84" i="6"/>
  <c r="BQ81" i="6"/>
  <c r="BQ79" i="6"/>
  <c r="BQ78" i="6"/>
  <c r="AQ83" i="5" l="1"/>
  <c r="AQ79" i="5"/>
  <c r="AM79" i="5"/>
  <c r="AN79" i="5"/>
  <c r="AO79" i="5"/>
  <c r="AL79" i="5"/>
  <c r="AP86" i="5" l="1"/>
  <c r="AP79" i="5"/>
  <c r="AQ66" i="5"/>
  <c r="AP66" i="5"/>
  <c r="AP81" i="5" s="1"/>
  <c r="AQ53" i="5"/>
  <c r="AQ81" i="5" s="1"/>
  <c r="AQ27" i="4"/>
  <c r="AQ26" i="4"/>
  <c r="AQ24" i="4"/>
  <c r="AQ21" i="4"/>
  <c r="AQ20" i="4"/>
  <c r="AQ17" i="4"/>
  <c r="AQ16" i="4"/>
  <c r="AQ13" i="4"/>
  <c r="AQ12" i="4"/>
  <c r="AQ11" i="4"/>
  <c r="AQ9" i="4"/>
  <c r="AQ8" i="4"/>
  <c r="AQ7" i="4"/>
  <c r="AQ28" i="4"/>
  <c r="AY20" i="3"/>
  <c r="AQ19" i="4" s="1"/>
  <c r="AY16" i="3"/>
  <c r="AQ15" i="4" s="1"/>
  <c r="AY10" i="3"/>
  <c r="AY15" i="3" s="1"/>
  <c r="AY9" i="3"/>
  <c r="BB31" i="2"/>
  <c r="BA31" i="2"/>
  <c r="AZ31" i="2"/>
  <c r="AY31" i="2"/>
  <c r="BB21" i="2"/>
  <c r="BA21" i="2"/>
  <c r="AZ21" i="2"/>
  <c r="AY21" i="2"/>
  <c r="BB7" i="2"/>
  <c r="BA7" i="2"/>
  <c r="AZ7" i="2"/>
  <c r="AY7" i="2"/>
  <c r="BB21" i="1"/>
  <c r="BA21" i="1"/>
  <c r="AY21" i="1"/>
  <c r="BB15" i="1"/>
  <c r="BB7" i="1" s="1"/>
  <c r="BA15" i="1"/>
  <c r="BA7" i="1" s="1"/>
  <c r="AZ15" i="1"/>
  <c r="AZ7" i="1" s="1"/>
  <c r="AZ40" i="1" s="1"/>
  <c r="AY15" i="1"/>
  <c r="AY7" i="1"/>
  <c r="BQ59" i="6"/>
  <c r="BQ64" i="6" s="1"/>
  <c r="BQ52" i="6"/>
  <c r="BQ51" i="6"/>
  <c r="BQ48" i="6"/>
  <c r="BQ47" i="6"/>
  <c r="BQ46" i="6"/>
  <c r="BQ43" i="6"/>
  <c r="BQ42" i="6"/>
  <c r="BQ41" i="6"/>
  <c r="BQ33" i="6"/>
  <c r="BQ70" i="6" s="1"/>
  <c r="BQ28" i="6"/>
  <c r="BQ68" i="6"/>
  <c r="BQ9" i="6"/>
  <c r="AO16" i="4"/>
  <c r="AN8" i="4"/>
  <c r="AO8" i="4"/>
  <c r="BQ69" i="6" l="1"/>
  <c r="BQ45" i="6"/>
  <c r="AQ84" i="5"/>
  <c r="AQ86" i="5" s="1"/>
  <c r="AY19" i="3"/>
  <c r="AY23" i="3"/>
  <c r="AQ22" i="4" s="1"/>
  <c r="AQ10" i="4"/>
  <c r="AY40" i="1"/>
  <c r="AY45" i="2"/>
  <c r="AZ45" i="2"/>
  <c r="BB45" i="2"/>
  <c r="BA45" i="2"/>
  <c r="BA40" i="1"/>
  <c r="BB40" i="1"/>
  <c r="BQ77" i="6"/>
  <c r="BQ95" i="6"/>
  <c r="BQ115" i="6" s="1"/>
  <c r="BQ20" i="6"/>
  <c r="BQ57" i="6" s="1"/>
  <c r="BQ87" i="6"/>
  <c r="W65" i="6"/>
  <c r="AF65" i="6"/>
  <c r="BQ88" i="6" l="1"/>
  <c r="BQ67" i="6"/>
  <c r="BQ75" i="6"/>
  <c r="BQ85" i="6"/>
  <c r="BQ72" i="6"/>
  <c r="BQ82" i="6"/>
  <c r="BQ93" i="6"/>
  <c r="BI65" i="6"/>
  <c r="BL65" i="6"/>
  <c r="BK65" i="6"/>
  <c r="BJ65" i="6"/>
  <c r="AG65" i="6" l="1"/>
  <c r="Y65" i="6"/>
  <c r="O65" i="6"/>
  <c r="AH65" i="6"/>
  <c r="X65" i="6"/>
  <c r="P65" i="6"/>
  <c r="AW34" i="1"/>
  <c r="BP98" i="6" l="1"/>
  <c r="BP97" i="6"/>
  <c r="BP96" i="6"/>
  <c r="P96" i="6" s="1"/>
  <c r="P7" i="6" l="1"/>
  <c r="P6" i="6"/>
  <c r="P5" i="6"/>
  <c r="P15" i="6"/>
  <c r="AG51" i="5" l="1"/>
  <c r="AG53" i="5" s="1"/>
  <c r="AI51" i="5"/>
  <c r="AI53" i="5" s="1"/>
  <c r="AH51" i="5"/>
  <c r="AH53" i="5" s="1"/>
  <c r="AJ51" i="5"/>
  <c r="AJ53" i="5" s="1"/>
  <c r="AL53" i="5"/>
  <c r="AO7" i="4"/>
  <c r="C36" i="8" l="1"/>
  <c r="C21" i="8"/>
  <c r="I6" i="8"/>
  <c r="C6" i="8"/>
  <c r="P11" i="6"/>
  <c r="O11" i="6"/>
  <c r="P10" i="6"/>
  <c r="O10" i="6"/>
  <c r="P97" i="6"/>
  <c r="P98" i="6"/>
  <c r="P60" i="6"/>
  <c r="P61" i="6"/>
  <c r="P62" i="6"/>
  <c r="P34" i="6"/>
  <c r="P51" i="6" s="1"/>
  <c r="P35" i="6"/>
  <c r="P29" i="6"/>
  <c r="P30" i="6"/>
  <c r="P31" i="6"/>
  <c r="P24" i="6"/>
  <c r="P41" i="6" s="1"/>
  <c r="P25" i="6"/>
  <c r="P42" i="6" s="1"/>
  <c r="P26" i="6"/>
  <c r="P43" i="6" s="1"/>
  <c r="P16" i="6"/>
  <c r="I36" i="8" s="1"/>
  <c r="P12" i="6"/>
  <c r="BP114" i="6"/>
  <c r="BP111" i="6"/>
  <c r="P111" i="6" s="1"/>
  <c r="AW31" i="2"/>
  <c r="BP107" i="6" s="1"/>
  <c r="AW21" i="2"/>
  <c r="AW7" i="2"/>
  <c r="AW21" i="1"/>
  <c r="AW15" i="1"/>
  <c r="AW7" i="1" s="1"/>
  <c r="BP102" i="6"/>
  <c r="P102" i="6" s="1"/>
  <c r="BP103" i="6"/>
  <c r="P103" i="6" s="1"/>
  <c r="BP101" i="6"/>
  <c r="BP92" i="6"/>
  <c r="BP90" i="6"/>
  <c r="BP84" i="6"/>
  <c r="BP87" i="6" s="1"/>
  <c r="BP81" i="6"/>
  <c r="BP78" i="6"/>
  <c r="BP79" i="6"/>
  <c r="BP74" i="6"/>
  <c r="BP59" i="6"/>
  <c r="BP64" i="6" s="1"/>
  <c r="BP56" i="6"/>
  <c r="BP51" i="6"/>
  <c r="BP52" i="6"/>
  <c r="BP46" i="6"/>
  <c r="BP47" i="6"/>
  <c r="BP48" i="6"/>
  <c r="BP41" i="6"/>
  <c r="BP42" i="6"/>
  <c r="BP43" i="6"/>
  <c r="BP33" i="6"/>
  <c r="BP70" i="6" s="1"/>
  <c r="BP28" i="6"/>
  <c r="BP23" i="6"/>
  <c r="BP9" i="6"/>
  <c r="BO9" i="6"/>
  <c r="AJ79" i="5"/>
  <c r="AK79" i="5"/>
  <c r="AL81" i="5"/>
  <c r="AK86" i="5"/>
  <c r="AL86" i="5"/>
  <c r="AN86" i="5"/>
  <c r="AO86" i="5"/>
  <c r="AK66" i="5"/>
  <c r="AL66" i="5"/>
  <c r="AM66" i="5"/>
  <c r="AN66" i="5"/>
  <c r="AO66" i="5"/>
  <c r="AM51" i="5"/>
  <c r="AM53" i="5" s="1"/>
  <c r="AM81" i="5" s="1"/>
  <c r="AN51" i="5"/>
  <c r="AN53" i="5" s="1"/>
  <c r="AN81" i="5" s="1"/>
  <c r="AO51" i="5"/>
  <c r="AO53" i="5" s="1"/>
  <c r="AO81" i="5" s="1"/>
  <c r="AO17" i="4"/>
  <c r="AO26" i="4"/>
  <c r="AO27" i="4"/>
  <c r="AO28" i="4"/>
  <c r="AO24" i="4"/>
  <c r="AO18" i="4"/>
  <c r="AO19" i="4"/>
  <c r="AO20" i="4"/>
  <c r="AO21" i="4"/>
  <c r="AO22" i="4"/>
  <c r="AO14" i="4"/>
  <c r="AO15" i="4"/>
  <c r="AO11" i="4"/>
  <c r="AO12" i="4"/>
  <c r="AO13" i="4"/>
  <c r="AO9" i="4"/>
  <c r="AO10" i="4"/>
  <c r="AK81" i="5" l="1"/>
  <c r="BP68" i="6"/>
  <c r="P46" i="6"/>
  <c r="BP77" i="6"/>
  <c r="P48" i="6"/>
  <c r="BP100" i="6"/>
  <c r="P47" i="6"/>
  <c r="P107" i="6"/>
  <c r="P101" i="6"/>
  <c r="P100" i="6" s="1"/>
  <c r="BP45" i="6"/>
  <c r="P52" i="6"/>
  <c r="AW40" i="1"/>
  <c r="P95" i="6"/>
  <c r="BP20" i="6"/>
  <c r="BP69" i="6"/>
  <c r="AW45" i="2"/>
  <c r="BP95" i="6"/>
  <c r="BP115" i="6" s="1"/>
  <c r="P115" i="6" s="1"/>
  <c r="BP72" i="6" l="1"/>
  <c r="BP88" i="6"/>
  <c r="BP67" i="6"/>
  <c r="BP82" i="6"/>
  <c r="BP75" i="6"/>
  <c r="BP57" i="6"/>
  <c r="BP85" i="6"/>
  <c r="BP93" i="6"/>
  <c r="Y77" i="6" l="1"/>
  <c r="X77" i="6"/>
  <c r="AI15" i="4"/>
  <c r="AV7" i="1" l="1"/>
  <c r="AV15" i="1"/>
  <c r="AI66" i="5" l="1"/>
  <c r="BO78" i="6" l="1"/>
  <c r="Y61" i="6" l="1"/>
  <c r="Y62" i="6"/>
  <c r="Y60" i="6"/>
  <c r="Y35" i="6"/>
  <c r="Y34" i="6"/>
  <c r="Y29" i="6"/>
  <c r="Y30" i="6"/>
  <c r="Y31" i="6"/>
  <c r="Y26" i="6"/>
  <c r="Y25" i="6"/>
  <c r="Y24" i="6"/>
  <c r="Y7" i="6"/>
  <c r="Y5" i="6"/>
  <c r="Y6" i="6"/>
  <c r="Y16" i="6"/>
  <c r="Y15" i="6"/>
  <c r="Y12" i="6"/>
  <c r="Y11" i="6"/>
  <c r="Y10" i="6"/>
  <c r="X5" i="6"/>
  <c r="BO111" i="6"/>
  <c r="BO107" i="6"/>
  <c r="BO102" i="6"/>
  <c r="BO103" i="6"/>
  <c r="BO96" i="6"/>
  <c r="BO97" i="6"/>
  <c r="BO98" i="6"/>
  <c r="BO79" i="6"/>
  <c r="BO77" i="6" s="1"/>
  <c r="BO59" i="6"/>
  <c r="BO64" i="6" s="1"/>
  <c r="BO51" i="6"/>
  <c r="BO52" i="6"/>
  <c r="BO46" i="6"/>
  <c r="BO47" i="6"/>
  <c r="BO48" i="6"/>
  <c r="BO41" i="6"/>
  <c r="BO42" i="6"/>
  <c r="BO43" i="6"/>
  <c r="BO33" i="6"/>
  <c r="BO70" i="6" s="1"/>
  <c r="BO28" i="6"/>
  <c r="BO23" i="6"/>
  <c r="AN11" i="4"/>
  <c r="AN12" i="4"/>
  <c r="AN13" i="4"/>
  <c r="AN20" i="4"/>
  <c r="AN21" i="4"/>
  <c r="AN24" i="4"/>
  <c r="AN27" i="4"/>
  <c r="AN7" i="4"/>
  <c r="AV20" i="3"/>
  <c r="AV16" i="3"/>
  <c r="AQ16" i="3"/>
  <c r="AV10" i="3"/>
  <c r="AV9" i="3"/>
  <c r="AV31" i="2"/>
  <c r="AU31" i="2"/>
  <c r="AV21" i="2"/>
  <c r="AV7" i="2"/>
  <c r="AV21" i="1"/>
  <c r="AV40" i="1" s="1"/>
  <c r="AV34" i="1"/>
  <c r="AU7" i="1"/>
  <c r="Y103" i="6" l="1"/>
  <c r="Y102" i="6"/>
  <c r="Y111" i="6"/>
  <c r="Y98" i="6"/>
  <c r="Y97" i="6"/>
  <c r="Y96" i="6"/>
  <c r="BO68" i="6"/>
  <c r="Y46" i="6"/>
  <c r="Y47" i="6"/>
  <c r="Y52" i="6"/>
  <c r="Y48" i="6"/>
  <c r="BO101" i="6"/>
  <c r="BO100" i="6" s="1"/>
  <c r="Y41" i="6"/>
  <c r="Y51" i="6"/>
  <c r="Y42" i="6"/>
  <c r="Y43" i="6"/>
  <c r="Y107" i="6"/>
  <c r="AV45" i="2"/>
  <c r="AV15" i="3"/>
  <c r="AV19" i="3"/>
  <c r="AV27" i="3"/>
  <c r="BO45" i="6"/>
  <c r="BO69" i="6"/>
  <c r="BO95" i="6"/>
  <c r="BO20" i="6"/>
  <c r="Y95" i="6" l="1"/>
  <c r="Y101" i="6"/>
  <c r="Y100" i="6" s="1"/>
  <c r="BO67" i="6"/>
  <c r="BO72" i="6"/>
  <c r="BO115" i="6"/>
  <c r="AV29" i="3"/>
  <c r="AV23" i="3"/>
  <c r="Y115" i="6" l="1"/>
  <c r="AL7" i="4"/>
  <c r="AH62" i="6" l="1"/>
  <c r="AH61" i="6"/>
  <c r="AH60" i="6"/>
  <c r="AH35" i="6"/>
  <c r="AH34" i="6"/>
  <c r="AH31" i="6"/>
  <c r="AH30" i="6"/>
  <c r="AH29" i="6"/>
  <c r="AH26" i="6"/>
  <c r="AH25" i="6"/>
  <c r="AH24" i="6"/>
  <c r="AH15" i="6"/>
  <c r="AH12" i="6"/>
  <c r="AH11" i="6"/>
  <c r="AH10" i="6"/>
  <c r="AH7" i="6"/>
  <c r="BN33" i="6"/>
  <c r="BN28" i="6"/>
  <c r="BN23" i="6"/>
  <c r="BN111" i="6"/>
  <c r="BN107" i="6"/>
  <c r="BN103" i="6"/>
  <c r="BN102" i="6"/>
  <c r="AH102" i="6" s="1"/>
  <c r="BN98" i="6"/>
  <c r="AH98" i="6" s="1"/>
  <c r="BN97" i="6"/>
  <c r="BN96" i="6"/>
  <c r="BN101" i="6" s="1"/>
  <c r="AH101" i="6" s="1"/>
  <c r="BN59" i="6"/>
  <c r="BN52" i="6"/>
  <c r="BN51" i="6"/>
  <c r="BN48" i="6"/>
  <c r="BN47" i="6"/>
  <c r="BN46" i="6"/>
  <c r="BN43" i="6"/>
  <c r="BN42" i="6"/>
  <c r="BN41" i="6"/>
  <c r="BN9" i="6"/>
  <c r="AM83" i="5"/>
  <c r="AM7" i="4"/>
  <c r="AM8" i="4"/>
  <c r="AM11" i="4"/>
  <c r="AM12" i="4"/>
  <c r="AM13" i="4"/>
  <c r="BN78" i="6"/>
  <c r="BN79" i="6"/>
  <c r="AM20" i="4"/>
  <c r="AM21" i="4"/>
  <c r="AM24" i="4"/>
  <c r="AM27" i="4"/>
  <c r="AU9" i="3"/>
  <c r="AU20" i="3"/>
  <c r="AN19" i="4" s="1"/>
  <c r="BO90" i="6" s="1"/>
  <c r="AU16" i="3"/>
  <c r="AN15" i="4" s="1"/>
  <c r="AU10" i="3"/>
  <c r="AN10" i="4" s="1"/>
  <c r="BO74" i="6" s="1"/>
  <c r="BO75" i="6" s="1"/>
  <c r="AU45" i="2"/>
  <c r="AU21" i="2"/>
  <c r="AU7" i="2"/>
  <c r="AU34" i="1"/>
  <c r="AU21" i="1"/>
  <c r="AU15" i="1"/>
  <c r="BN70" i="6" l="1"/>
  <c r="BN64" i="6"/>
  <c r="BN68" i="6"/>
  <c r="AU15" i="3"/>
  <c r="AN9" i="4"/>
  <c r="BO56" i="6" s="1"/>
  <c r="BO57" i="6" s="1"/>
  <c r="BN20" i="6"/>
  <c r="BR21" i="6" s="1"/>
  <c r="AH95" i="6"/>
  <c r="AH48" i="6"/>
  <c r="BN77" i="6"/>
  <c r="AH52" i="6"/>
  <c r="AH51" i="6"/>
  <c r="AH42" i="6"/>
  <c r="AH41" i="6"/>
  <c r="AH47" i="6"/>
  <c r="AH46" i="6"/>
  <c r="AH43" i="6"/>
  <c r="BN95" i="6"/>
  <c r="BN115" i="6" s="1"/>
  <c r="BN45" i="6"/>
  <c r="BN69" i="6"/>
  <c r="AU19" i="3"/>
  <c r="AN18" i="4" s="1"/>
  <c r="AU40" i="1"/>
  <c r="BN67" i="6" l="1"/>
  <c r="BN72" i="6"/>
  <c r="AU27" i="3"/>
  <c r="AN14" i="4"/>
  <c r="AU23" i="3"/>
  <c r="AN22" i="4" s="1"/>
  <c r="BO92" i="6" s="1"/>
  <c r="BM111" i="6"/>
  <c r="BM107" i="6"/>
  <c r="BM97" i="6"/>
  <c r="BM103" i="6"/>
  <c r="BM102" i="6"/>
  <c r="BM98" i="6"/>
  <c r="BM96" i="6"/>
  <c r="O62" i="6"/>
  <c r="O61" i="6"/>
  <c r="O60" i="6"/>
  <c r="O35" i="6"/>
  <c r="O34" i="6"/>
  <c r="O31" i="6"/>
  <c r="O30" i="6"/>
  <c r="O29" i="6"/>
  <c r="O26" i="6"/>
  <c r="O25" i="6"/>
  <c r="O24" i="6"/>
  <c r="O16" i="6"/>
  <c r="O15" i="6"/>
  <c r="O12" i="6"/>
  <c r="O7" i="6"/>
  <c r="O6" i="6"/>
  <c r="O5" i="6"/>
  <c r="BR106" i="6" l="1"/>
  <c r="BR110" i="6"/>
  <c r="BM101" i="6"/>
  <c r="BM95" i="6"/>
  <c r="BO93" i="6"/>
  <c r="BO114" i="6"/>
  <c r="BR113" i="6" s="1"/>
  <c r="AN26" i="4"/>
  <c r="BO81" i="6" s="1"/>
  <c r="BO82" i="6" s="1"/>
  <c r="AM26" i="4"/>
  <c r="BN81" i="6" s="1"/>
  <c r="AU29" i="3"/>
  <c r="O47" i="6"/>
  <c r="O52" i="6"/>
  <c r="O51" i="6"/>
  <c r="O46" i="6"/>
  <c r="O41" i="6"/>
  <c r="O43" i="6"/>
  <c r="O42" i="6"/>
  <c r="O48" i="6"/>
  <c r="AO45" i="2"/>
  <c r="AO31" i="2"/>
  <c r="AP31" i="2"/>
  <c r="AO21" i="2"/>
  <c r="AP21" i="2"/>
  <c r="AO7" i="2"/>
  <c r="AP7" i="2"/>
  <c r="AO40" i="1"/>
  <c r="AP40" i="1"/>
  <c r="AR15" i="1"/>
  <c r="AR7" i="1"/>
  <c r="BR109" i="6" l="1"/>
  <c r="AI109" i="6" s="1"/>
  <c r="AI110" i="6"/>
  <c r="BR105" i="6"/>
  <c r="AI105" i="6" s="1"/>
  <c r="AI106" i="6"/>
  <c r="BN82" i="6"/>
  <c r="AM28" i="4"/>
  <c r="BN84" i="6" s="1"/>
  <c r="AN28" i="4"/>
  <c r="BO84" i="6" s="1"/>
  <c r="AT20" i="3"/>
  <c r="AT16" i="3"/>
  <c r="AT10" i="3"/>
  <c r="AM10" i="4" s="1"/>
  <c r="BN74" i="6" s="1"/>
  <c r="AT9" i="3"/>
  <c r="AM9" i="4" s="1"/>
  <c r="BN56" i="6" s="1"/>
  <c r="AL28" i="4"/>
  <c r="BM84" i="6" s="1"/>
  <c r="AL27" i="4"/>
  <c r="AL26" i="4"/>
  <c r="BM81" i="6" s="1"/>
  <c r="P81" i="6" s="1"/>
  <c r="AL24" i="4"/>
  <c r="AL21" i="4"/>
  <c r="AL20" i="4"/>
  <c r="AL17" i="4"/>
  <c r="BM79" i="6" s="1"/>
  <c r="P79" i="6" s="1"/>
  <c r="AL16" i="4"/>
  <c r="BM78" i="6" s="1"/>
  <c r="P78" i="6" s="1"/>
  <c r="AL13" i="4"/>
  <c r="AL12" i="4"/>
  <c r="AL11" i="4"/>
  <c r="AL8" i="4"/>
  <c r="AT31" i="2"/>
  <c r="AT21" i="2"/>
  <c r="AT7" i="2"/>
  <c r="AT21" i="1"/>
  <c r="AT34" i="1"/>
  <c r="AT15" i="1"/>
  <c r="BN57" i="6" l="1"/>
  <c r="BN75" i="6"/>
  <c r="P84" i="6"/>
  <c r="P87" i="6" s="1"/>
  <c r="BM87" i="6"/>
  <c r="BO85" i="6"/>
  <c r="BO87" i="6"/>
  <c r="BO88" i="6" s="1"/>
  <c r="BN85" i="6"/>
  <c r="BN87" i="6"/>
  <c r="BN88" i="6" s="1"/>
  <c r="AL9" i="4"/>
  <c r="BM56" i="6" s="1"/>
  <c r="P56" i="6" s="1"/>
  <c r="AH79" i="6"/>
  <c r="AH81" i="6"/>
  <c r="Y81" i="6"/>
  <c r="AH84" i="6"/>
  <c r="AH87" i="6" s="1"/>
  <c r="Y84" i="6"/>
  <c r="Y87" i="6" s="1"/>
  <c r="AH78" i="6"/>
  <c r="AL19" i="4"/>
  <c r="BM90" i="6" s="1"/>
  <c r="AM19" i="4"/>
  <c r="BN90" i="6" s="1"/>
  <c r="AL15" i="4"/>
  <c r="AM15" i="4"/>
  <c r="AL10" i="4"/>
  <c r="BM74" i="6" s="1"/>
  <c r="P74" i="6" s="1"/>
  <c r="AT15" i="3"/>
  <c r="AL14" i="4" s="1"/>
  <c r="AT45" i="2"/>
  <c r="P90" i="6" l="1"/>
  <c r="Y56" i="6"/>
  <c r="BM114" i="6"/>
  <c r="AH74" i="6"/>
  <c r="Y74" i="6"/>
  <c r="Y90" i="6"/>
  <c r="AH77" i="6"/>
  <c r="AT19" i="3"/>
  <c r="AM18" i="4" s="1"/>
  <c r="AM14" i="4"/>
  <c r="BN114" i="6" s="1"/>
  <c r="BQ113" i="6" s="1"/>
  <c r="AH90" i="6"/>
  <c r="AT23" i="3"/>
  <c r="AL18" i="4"/>
  <c r="P114" i="6" l="1"/>
  <c r="AL22" i="4"/>
  <c r="BM92" i="6" s="1"/>
  <c r="AM22" i="4"/>
  <c r="BN92" i="6" s="1"/>
  <c r="AG66" i="5"/>
  <c r="AH66" i="5"/>
  <c r="AJ66" i="5"/>
  <c r="AT7" i="1"/>
  <c r="BM9" i="6"/>
  <c r="P9" i="6" s="1"/>
  <c r="I21" i="8" s="1"/>
  <c r="BM23" i="6"/>
  <c r="BM28" i="6"/>
  <c r="P28" i="6" s="1"/>
  <c r="BM33" i="6"/>
  <c r="BM41" i="6"/>
  <c r="BM42" i="6"/>
  <c r="BM43" i="6"/>
  <c r="BM46" i="6"/>
  <c r="BM47" i="6"/>
  <c r="BM48" i="6"/>
  <c r="BM51" i="6"/>
  <c r="BM52" i="6"/>
  <c r="BM59" i="6"/>
  <c r="BQ110" i="6" l="1"/>
  <c r="BQ109" i="6" s="1"/>
  <c r="AH92" i="6"/>
  <c r="BQ106" i="6"/>
  <c r="BQ105" i="6" s="1"/>
  <c r="BN93" i="6"/>
  <c r="P59" i="6"/>
  <c r="P64" i="6" s="1"/>
  <c r="BM64" i="6"/>
  <c r="Y33" i="6"/>
  <c r="Y70" i="6" s="1"/>
  <c r="P33" i="6"/>
  <c r="P45" i="6"/>
  <c r="P69" i="6"/>
  <c r="P92" i="6"/>
  <c r="Y23" i="6"/>
  <c r="P23" i="6"/>
  <c r="BP106" i="6"/>
  <c r="BP105" i="6" s="1"/>
  <c r="P105" i="6" s="1"/>
  <c r="BP110" i="6"/>
  <c r="BP109" i="6" s="1"/>
  <c r="P109" i="6" s="1"/>
  <c r="AM84" i="5"/>
  <c r="AM86" i="5" s="1"/>
  <c r="AH59" i="6"/>
  <c r="AH64" i="6" s="1"/>
  <c r="Y59" i="6"/>
  <c r="Y64" i="6" s="1"/>
  <c r="AH9" i="6"/>
  <c r="Y9" i="6"/>
  <c r="Y92" i="6"/>
  <c r="AH28" i="6"/>
  <c r="AH69" i="6" s="1"/>
  <c r="Y28" i="6"/>
  <c r="BM70" i="6"/>
  <c r="AH33" i="6"/>
  <c r="AH70" i="6" s="1"/>
  <c r="BM68" i="6"/>
  <c r="AH23" i="6"/>
  <c r="BM20" i="6"/>
  <c r="BM77" i="6"/>
  <c r="P77" i="6" s="1"/>
  <c r="AT40" i="1"/>
  <c r="BM115" i="6"/>
  <c r="BP113" i="6" s="1"/>
  <c r="P113" i="6" s="1"/>
  <c r="BM45" i="6"/>
  <c r="BM69" i="6"/>
  <c r="BM100" i="6"/>
  <c r="AR31" i="2"/>
  <c r="AR7" i="2"/>
  <c r="P20" i="6" l="1"/>
  <c r="P88" i="6" s="1"/>
  <c r="BQ21" i="6"/>
  <c r="BM88" i="6"/>
  <c r="BM72" i="6"/>
  <c r="P72" i="6"/>
  <c r="AH45" i="6"/>
  <c r="AH68" i="6"/>
  <c r="Y68" i="6"/>
  <c r="P70" i="6"/>
  <c r="P106" i="6"/>
  <c r="P110" i="6" s="1"/>
  <c r="P68" i="6"/>
  <c r="AH20" i="6"/>
  <c r="Y20" i="6"/>
  <c r="BM57" i="6"/>
  <c r="Y69" i="6"/>
  <c r="Y45" i="6"/>
  <c r="BM82" i="6"/>
  <c r="BM93" i="6"/>
  <c r="BM75" i="6"/>
  <c r="BM85" i="6"/>
  <c r="BM67" i="6"/>
  <c r="BL98" i="6"/>
  <c r="BL97" i="6"/>
  <c r="BL96" i="6"/>
  <c r="BL101" i="6" s="1"/>
  <c r="O101" i="6" s="1"/>
  <c r="P93" i="6" l="1"/>
  <c r="P67" i="6"/>
  <c r="P85" i="6"/>
  <c r="P82" i="6"/>
  <c r="P57" i="6"/>
  <c r="AH85" i="6"/>
  <c r="Y67" i="6"/>
  <c r="Y88" i="6"/>
  <c r="Y72" i="6"/>
  <c r="AH67" i="6"/>
  <c r="AH88" i="6"/>
  <c r="P75" i="6"/>
  <c r="AH72" i="6"/>
  <c r="AH75" i="6"/>
  <c r="AH57" i="6"/>
  <c r="AH82" i="6"/>
  <c r="AH93" i="6"/>
  <c r="Y57" i="6"/>
  <c r="Y85" i="6"/>
  <c r="Y82" i="6"/>
  <c r="Y75" i="6"/>
  <c r="Y93" i="6"/>
  <c r="O97" i="6"/>
  <c r="O98" i="6"/>
  <c r="O96" i="6"/>
  <c r="O95" i="6" l="1"/>
  <c r="BL9" i="6"/>
  <c r="BL23" i="6"/>
  <c r="BL28" i="6"/>
  <c r="BL69" i="6" s="1"/>
  <c r="BL33" i="6"/>
  <c r="BL70" i="6" s="1"/>
  <c r="BL41" i="6"/>
  <c r="BL42" i="6"/>
  <c r="BL43" i="6"/>
  <c r="BL46" i="6"/>
  <c r="BL47" i="6"/>
  <c r="BL48" i="6"/>
  <c r="BL51" i="6"/>
  <c r="BL52" i="6"/>
  <c r="BL59" i="6"/>
  <c r="BL64" i="6" s="1"/>
  <c r="BL102" i="6"/>
  <c r="O102" i="6" s="1"/>
  <c r="BL103" i="6"/>
  <c r="O103" i="6" s="1"/>
  <c r="AI79" i="5"/>
  <c r="AJ86" i="5"/>
  <c r="AJ7" i="4"/>
  <c r="AJ8" i="4"/>
  <c r="AJ11" i="4"/>
  <c r="AJ12" i="4"/>
  <c r="AJ13" i="4"/>
  <c r="AJ16" i="4"/>
  <c r="BL78" i="6" s="1"/>
  <c r="AJ17" i="4"/>
  <c r="BL79" i="6" s="1"/>
  <c r="AJ20" i="4"/>
  <c r="AJ21" i="4"/>
  <c r="AJ24" i="4"/>
  <c r="AJ26" i="4"/>
  <c r="BL81" i="6" s="1"/>
  <c r="AJ27" i="4"/>
  <c r="AJ28" i="4"/>
  <c r="BL84" i="6" s="1"/>
  <c r="BL87" i="6" s="1"/>
  <c r="AR20" i="3"/>
  <c r="AR16" i="3"/>
  <c r="AR10" i="3"/>
  <c r="AR9" i="3"/>
  <c r="BL111" i="6"/>
  <c r="O111" i="6" s="1"/>
  <c r="AR21" i="2"/>
  <c r="AR45" i="2" s="1"/>
  <c r="AR34" i="1"/>
  <c r="AR21" i="1" s="1"/>
  <c r="AD79" i="5"/>
  <c r="AB79" i="5"/>
  <c r="AC79" i="5"/>
  <c r="AE79" i="5"/>
  <c r="AG79" i="5"/>
  <c r="AH79" i="5"/>
  <c r="AB86" i="5"/>
  <c r="AC86" i="5"/>
  <c r="AD86" i="5"/>
  <c r="AE86" i="5"/>
  <c r="AG86" i="5"/>
  <c r="AH86" i="5"/>
  <c r="AI86" i="5"/>
  <c r="AB53" i="5"/>
  <c r="AC53" i="5"/>
  <c r="AD53" i="5"/>
  <c r="AE53" i="5"/>
  <c r="AB66" i="5"/>
  <c r="AC66" i="5"/>
  <c r="AD66" i="5"/>
  <c r="AE66" i="5"/>
  <c r="X62" i="6"/>
  <c r="X61" i="6"/>
  <c r="X60" i="6"/>
  <c r="N5" i="6"/>
  <c r="BL68" i="6" l="1"/>
  <c r="BL77" i="6"/>
  <c r="BL20" i="6"/>
  <c r="BP21" i="6" s="1"/>
  <c r="AR40" i="1"/>
  <c r="O100" i="6"/>
  <c r="BL100" i="6"/>
  <c r="BL107" i="6"/>
  <c r="O107" i="6" s="1"/>
  <c r="BL45" i="6"/>
  <c r="BL95" i="6"/>
  <c r="AJ81" i="5"/>
  <c r="AC81" i="5"/>
  <c r="AB81" i="5"/>
  <c r="AE81" i="5"/>
  <c r="AD81" i="5"/>
  <c r="AG81" i="5"/>
  <c r="AR15" i="3"/>
  <c r="BK33" i="6"/>
  <c r="BK28" i="6"/>
  <c r="BK23" i="6"/>
  <c r="BK9" i="6"/>
  <c r="AQ20" i="3"/>
  <c r="AJ19" i="4" s="1"/>
  <c r="BL90" i="6" s="1"/>
  <c r="AJ15" i="4"/>
  <c r="AQ10" i="3"/>
  <c r="AJ10" i="4" s="1"/>
  <c r="BL74" i="6" s="1"/>
  <c r="AQ9" i="3"/>
  <c r="AJ9" i="4" s="1"/>
  <c r="BL56" i="6" s="1"/>
  <c r="AQ31" i="2"/>
  <c r="BK111" i="6" s="1"/>
  <c r="AQ21" i="2"/>
  <c r="AQ7" i="2"/>
  <c r="AQ34" i="1"/>
  <c r="AQ21" i="1" s="1"/>
  <c r="AQ15" i="1"/>
  <c r="AQ7" i="1"/>
  <c r="AQ40" i="1" s="1"/>
  <c r="BL88" i="6" l="1"/>
  <c r="BL72" i="6"/>
  <c r="BL85" i="6"/>
  <c r="BL115" i="6"/>
  <c r="O115" i="6" s="1"/>
  <c r="AR19" i="3"/>
  <c r="BL57" i="6"/>
  <c r="BL75" i="6"/>
  <c r="BL82" i="6"/>
  <c r="BL67" i="6"/>
  <c r="AI81" i="5"/>
  <c r="AQ15" i="3"/>
  <c r="AQ19" i="3" s="1"/>
  <c r="AQ23" i="3" s="1"/>
  <c r="AQ45" i="2"/>
  <c r="AJ14" i="4" l="1"/>
  <c r="BL114" i="6" s="1"/>
  <c r="AR23" i="3"/>
  <c r="AJ22" i="4" s="1"/>
  <c r="BL92" i="6" s="1"/>
  <c r="AJ18" i="4"/>
  <c r="BK41" i="6"/>
  <c r="X35" i="6"/>
  <c r="X34" i="6"/>
  <c r="X31" i="6"/>
  <c r="X30" i="6"/>
  <c r="X29" i="6"/>
  <c r="X26" i="6"/>
  <c r="X25" i="6"/>
  <c r="X24" i="6"/>
  <c r="X41" i="6" s="1"/>
  <c r="X16" i="6"/>
  <c r="X15" i="6"/>
  <c r="X12" i="6"/>
  <c r="X11" i="6"/>
  <c r="X10" i="6"/>
  <c r="X7" i="6"/>
  <c r="X6" i="6"/>
  <c r="BK68" i="6"/>
  <c r="X111" i="6"/>
  <c r="BK107" i="6"/>
  <c r="X107" i="6" s="1"/>
  <c r="BK103" i="6"/>
  <c r="X103" i="6" s="1"/>
  <c r="BK102" i="6"/>
  <c r="X102" i="6" s="1"/>
  <c r="BK98" i="6"/>
  <c r="X98" i="6" s="1"/>
  <c r="BK97" i="6"/>
  <c r="X97" i="6" s="1"/>
  <c r="BK96" i="6"/>
  <c r="X96" i="6" s="1"/>
  <c r="BK70" i="6"/>
  <c r="BK59" i="6"/>
  <c r="BK64" i="6" s="1"/>
  <c r="BK52" i="6"/>
  <c r="BK51" i="6"/>
  <c r="BK48" i="6"/>
  <c r="BK47" i="6"/>
  <c r="BK46" i="6"/>
  <c r="BK43" i="6"/>
  <c r="BK42" i="6"/>
  <c r="BK69" i="6"/>
  <c r="BK45" i="6"/>
  <c r="Y114" i="6" l="1"/>
  <c r="BO113" i="6"/>
  <c r="BL93" i="6"/>
  <c r="BO110" i="6"/>
  <c r="BO106" i="6"/>
  <c r="X48" i="6"/>
  <c r="BK95" i="6"/>
  <c r="BK115" i="6" s="1"/>
  <c r="X51" i="6"/>
  <c r="X52" i="6"/>
  <c r="X47" i="6"/>
  <c r="X46" i="6"/>
  <c r="X95" i="6"/>
  <c r="X42" i="6"/>
  <c r="X43" i="6"/>
  <c r="BK20" i="6"/>
  <c r="BO21" i="6" s="1"/>
  <c r="BK101" i="6"/>
  <c r="BJ33" i="6"/>
  <c r="BJ28" i="6"/>
  <c r="BJ23" i="6"/>
  <c r="Y113" i="6" l="1"/>
  <c r="BK72" i="6"/>
  <c r="BO105" i="6"/>
  <c r="Y106" i="6"/>
  <c r="BO109" i="6"/>
  <c r="Y110" i="6"/>
  <c r="X115" i="6"/>
  <c r="BK100" i="6"/>
  <c r="X101" i="6"/>
  <c r="X100" i="6" s="1"/>
  <c r="BK67" i="6"/>
  <c r="AH7" i="4" l="1"/>
  <c r="AF24" i="6" l="1"/>
  <c r="AG24" i="6"/>
  <c r="AF62" i="6" l="1"/>
  <c r="AF61" i="6"/>
  <c r="AF60" i="6"/>
  <c r="AG60" i="6"/>
  <c r="AG61" i="6"/>
  <c r="AG62" i="6"/>
  <c r="AG30" i="6"/>
  <c r="AG29" i="6"/>
  <c r="AG35" i="6"/>
  <c r="AG34" i="6"/>
  <c r="AG26" i="6"/>
  <c r="AG25" i="6"/>
  <c r="AG16" i="6"/>
  <c r="AG15" i="6"/>
  <c r="AG12" i="6"/>
  <c r="AG11" i="6"/>
  <c r="AG10" i="6"/>
  <c r="AG7" i="6"/>
  <c r="AG6" i="6"/>
  <c r="AG5" i="6"/>
  <c r="AG41" i="6" s="1"/>
  <c r="AF5" i="6"/>
  <c r="AF41" i="6" s="1"/>
  <c r="AG43" i="6" l="1"/>
  <c r="AG51" i="6"/>
  <c r="AG42" i="6"/>
  <c r="AG52" i="6"/>
  <c r="AG46" i="6"/>
  <c r="AG47" i="6"/>
  <c r="BJ70" i="6"/>
  <c r="BJ68" i="6"/>
  <c r="BJ69" i="6"/>
  <c r="BJ9" i="6"/>
  <c r="BJ103" i="6"/>
  <c r="AG103" i="6" s="1"/>
  <c r="BJ102" i="6"/>
  <c r="AG102" i="6" s="1"/>
  <c r="BJ98" i="6"/>
  <c r="AG98" i="6" s="1"/>
  <c r="BJ97" i="6"/>
  <c r="AG97" i="6" s="1"/>
  <c r="BJ96" i="6"/>
  <c r="BJ59" i="6"/>
  <c r="BJ64" i="6" s="1"/>
  <c r="BJ52" i="6"/>
  <c r="BJ51" i="6"/>
  <c r="BJ47" i="6"/>
  <c r="BJ46" i="6"/>
  <c r="BJ43" i="6"/>
  <c r="BJ42" i="6"/>
  <c r="BJ41" i="6"/>
  <c r="AH81" i="5"/>
  <c r="BJ95" i="6" l="1"/>
  <c r="BJ48" i="6"/>
  <c r="AG31" i="6"/>
  <c r="AG48" i="6" s="1"/>
  <c r="BJ101" i="6"/>
  <c r="AG95" i="6"/>
  <c r="BJ20" i="6"/>
  <c r="BJ72" i="6" s="1"/>
  <c r="BJ45" i="6"/>
  <c r="BJ67" i="6" l="1"/>
  <c r="BN21" i="6"/>
  <c r="BJ100" i="6"/>
  <c r="AG101" i="6"/>
  <c r="AG100" i="6" s="1"/>
  <c r="AP27" i="3"/>
  <c r="AH22" i="4" l="1"/>
  <c r="BJ111" i="6"/>
  <c r="BJ107" i="6"/>
  <c r="AP45" i="2"/>
  <c r="AP29" i="3"/>
  <c r="AG111" i="6" l="1"/>
  <c r="AG107" i="6"/>
  <c r="BJ115" i="6"/>
  <c r="AG115" i="6" s="1"/>
  <c r="BJ92" i="6"/>
  <c r="AY103" i="6"/>
  <c r="U103" i="6" s="1"/>
  <c r="AX103" i="6"/>
  <c r="AD103" i="6" s="1"/>
  <c r="AW103" i="6"/>
  <c r="AZ103" i="6"/>
  <c r="L103" i="6" s="1"/>
  <c r="BC103" i="6"/>
  <c r="BB103" i="6"/>
  <c r="BA103" i="6"/>
  <c r="BD103" i="6"/>
  <c r="M103" i="6" s="1"/>
  <c r="BG103" i="6"/>
  <c r="BF103" i="6"/>
  <c r="AF103" i="6" s="1"/>
  <c r="BE103" i="6"/>
  <c r="BH103" i="6"/>
  <c r="N103" i="6" s="1"/>
  <c r="BI103" i="6"/>
  <c r="B98" i="6"/>
  <c r="B103" i="6" s="1"/>
  <c r="C98" i="6"/>
  <c r="C103" i="6" s="1"/>
  <c r="D98" i="6"/>
  <c r="D103" i="6" s="1"/>
  <c r="E98" i="6"/>
  <c r="E103" i="6" s="1"/>
  <c r="F98" i="6"/>
  <c r="F103" i="6" s="1"/>
  <c r="G98" i="6"/>
  <c r="G103" i="6" s="1"/>
  <c r="H98" i="6"/>
  <c r="H103" i="6" s="1"/>
  <c r="AK98" i="6"/>
  <c r="AK103" i="6" s="1"/>
  <c r="AL98" i="6"/>
  <c r="AL103" i="6" s="1"/>
  <c r="AA103" i="6" s="1"/>
  <c r="AM98" i="6"/>
  <c r="R98" i="6" s="1"/>
  <c r="AN98" i="6"/>
  <c r="AN103" i="6" s="1"/>
  <c r="I103" i="6" s="1"/>
  <c r="AO98" i="6"/>
  <c r="AO103" i="6" s="1"/>
  <c r="AP98" i="6"/>
  <c r="AP103" i="6" s="1"/>
  <c r="AB103" i="6" s="1"/>
  <c r="AQ98" i="6"/>
  <c r="S98" i="6" s="1"/>
  <c r="AR98" i="6"/>
  <c r="AR103" i="6" s="1"/>
  <c r="J103" i="6" s="1"/>
  <c r="AS98" i="6"/>
  <c r="AS103" i="6" s="1"/>
  <c r="AT98" i="6"/>
  <c r="AC98" i="6" s="1"/>
  <c r="AU98" i="6"/>
  <c r="AU103" i="6" s="1"/>
  <c r="T103" i="6" s="1"/>
  <c r="AV98" i="6"/>
  <c r="K98" i="6" s="1"/>
  <c r="AW98" i="6"/>
  <c r="AX98" i="6"/>
  <c r="AD98" i="6" s="1"/>
  <c r="AY98" i="6"/>
  <c r="U98" i="6" s="1"/>
  <c r="AZ98" i="6"/>
  <c r="BA98" i="6"/>
  <c r="BB98" i="6"/>
  <c r="AE98" i="6" s="1"/>
  <c r="BC98" i="6"/>
  <c r="BD98" i="6"/>
  <c r="M98" i="6" s="1"/>
  <c r="BE98" i="6"/>
  <c r="BF98" i="6"/>
  <c r="AF98" i="6" s="1"/>
  <c r="BG98" i="6"/>
  <c r="BH98" i="6"/>
  <c r="N98" i="6" s="1"/>
  <c r="BI98" i="6"/>
  <c r="BJ93" i="6" l="1"/>
  <c r="T98" i="6"/>
  <c r="AV103" i="6"/>
  <c r="K103" i="6" s="1"/>
  <c r="I98" i="6"/>
  <c r="AT103" i="6"/>
  <c r="AC103" i="6" s="1"/>
  <c r="J98" i="6"/>
  <c r="AM103" i="6"/>
  <c r="R103" i="6" s="1"/>
  <c r="AQ103" i="6"/>
  <c r="S103" i="6" s="1"/>
  <c r="AE103" i="6"/>
  <c r="V103" i="6"/>
  <c r="W103" i="6"/>
  <c r="AA98" i="6"/>
  <c r="V98" i="6"/>
  <c r="AB98" i="6"/>
  <c r="L98" i="6"/>
  <c r="W98" i="6"/>
  <c r="BI114" i="6" l="1"/>
  <c r="BI111" i="6"/>
  <c r="BI107" i="6"/>
  <c r="BI102" i="6"/>
  <c r="BI97" i="6"/>
  <c r="BI96" i="6"/>
  <c r="BI92" i="6"/>
  <c r="BI90" i="6"/>
  <c r="BI84" i="6"/>
  <c r="BI87" i="6" s="1"/>
  <c r="BI81" i="6"/>
  <c r="BI79" i="6"/>
  <c r="BI78" i="6"/>
  <c r="BI74" i="6"/>
  <c r="BI56" i="6"/>
  <c r="BI33" i="6"/>
  <c r="BI28" i="6"/>
  <c r="BI59" i="6"/>
  <c r="BI52" i="6"/>
  <c r="BI51" i="6"/>
  <c r="BI48" i="6"/>
  <c r="BI47" i="6"/>
  <c r="BI46" i="6"/>
  <c r="BI43" i="6"/>
  <c r="BI42" i="6"/>
  <c r="BI41" i="6"/>
  <c r="BI23" i="6"/>
  <c r="BI9" i="6"/>
  <c r="O9" i="6" s="1"/>
  <c r="AI28" i="4"/>
  <c r="BK84" i="6" s="1"/>
  <c r="BK87" i="6" s="1"/>
  <c r="BK88" i="6" s="1"/>
  <c r="AH28" i="4"/>
  <c r="AI27" i="4"/>
  <c r="AH27" i="4"/>
  <c r="AI26" i="4"/>
  <c r="BK81" i="6" s="1"/>
  <c r="AH26" i="4"/>
  <c r="AI24" i="4"/>
  <c r="AH24" i="4"/>
  <c r="AI22" i="4"/>
  <c r="BK92" i="6" s="1"/>
  <c r="AI21" i="4"/>
  <c r="AH21" i="4"/>
  <c r="AI20" i="4"/>
  <c r="AH20" i="4"/>
  <c r="AI19" i="4"/>
  <c r="BK90" i="6" s="1"/>
  <c r="AH19" i="4"/>
  <c r="AI18" i="4"/>
  <c r="AH18" i="4"/>
  <c r="BK79" i="6"/>
  <c r="AH17" i="4"/>
  <c r="BK78" i="6"/>
  <c r="AH16" i="4"/>
  <c r="BJ78" i="6" s="1"/>
  <c r="AH15" i="4"/>
  <c r="AI14" i="4"/>
  <c r="AH14" i="4"/>
  <c r="AI13" i="4"/>
  <c r="AH13" i="4"/>
  <c r="AI12" i="4"/>
  <c r="AH12" i="4"/>
  <c r="AI11" i="4"/>
  <c r="AH11" i="4"/>
  <c r="AI10" i="4"/>
  <c r="BK74" i="6" s="1"/>
  <c r="AH10" i="4"/>
  <c r="AI9" i="4"/>
  <c r="BK56" i="6" s="1"/>
  <c r="BK57" i="6" s="1"/>
  <c r="AH9" i="4"/>
  <c r="AI8" i="4"/>
  <c r="AH8" i="4"/>
  <c r="AI7" i="4"/>
  <c r="N62" i="6"/>
  <c r="N61" i="6"/>
  <c r="N60" i="6"/>
  <c r="N35" i="6"/>
  <c r="N34" i="6"/>
  <c r="N31" i="6"/>
  <c r="N30" i="6"/>
  <c r="N29" i="6"/>
  <c r="N26" i="6"/>
  <c r="N25" i="6"/>
  <c r="N24" i="6"/>
  <c r="N16" i="6"/>
  <c r="N15" i="6"/>
  <c r="N12" i="6"/>
  <c r="N11" i="6"/>
  <c r="N10" i="6"/>
  <c r="N6" i="6"/>
  <c r="N7" i="6"/>
  <c r="BH111" i="6"/>
  <c r="N111" i="6" s="1"/>
  <c r="BH107" i="6"/>
  <c r="N107" i="6" s="1"/>
  <c r="BH102" i="6"/>
  <c r="BH97" i="6"/>
  <c r="N97" i="6" s="1"/>
  <c r="BH96" i="6"/>
  <c r="BH101" i="6" s="1"/>
  <c r="BH59" i="6"/>
  <c r="BH64" i="6" s="1"/>
  <c r="BH52" i="6"/>
  <c r="BH51" i="6"/>
  <c r="BH48" i="6"/>
  <c r="BH47" i="6"/>
  <c r="BH46" i="6"/>
  <c r="BH43" i="6"/>
  <c r="BH42" i="6"/>
  <c r="BH41" i="6"/>
  <c r="BH33" i="6"/>
  <c r="BH70" i="6" s="1"/>
  <c r="BH28" i="6"/>
  <c r="BH69" i="6" s="1"/>
  <c r="BH23" i="6"/>
  <c r="BH9" i="6"/>
  <c r="AE7" i="4"/>
  <c r="AE8" i="4"/>
  <c r="AE9" i="4"/>
  <c r="BH56" i="6" s="1"/>
  <c r="AE10" i="4"/>
  <c r="BH74" i="6" s="1"/>
  <c r="AE11" i="4"/>
  <c r="AE12" i="4"/>
  <c r="AE13" i="4"/>
  <c r="AE14" i="4"/>
  <c r="AE15" i="4"/>
  <c r="AE16" i="4"/>
  <c r="BH78" i="6" s="1"/>
  <c r="AE17" i="4"/>
  <c r="BH79" i="6" s="1"/>
  <c r="AE18" i="4"/>
  <c r="AE19" i="4"/>
  <c r="BH90" i="6" s="1"/>
  <c r="AE20" i="4"/>
  <c r="AE21" i="4"/>
  <c r="AE22" i="4"/>
  <c r="BH92" i="6" s="1"/>
  <c r="AE24" i="4"/>
  <c r="AE26" i="4"/>
  <c r="BH81" i="6" s="1"/>
  <c r="AE27" i="4"/>
  <c r="AE28" i="4"/>
  <c r="BH84" i="6" s="1"/>
  <c r="BH87" i="6" s="1"/>
  <c r="O59" i="6" l="1"/>
  <c r="O64" i="6" s="1"/>
  <c r="BI64" i="6"/>
  <c r="BH68" i="6"/>
  <c r="X23" i="6"/>
  <c r="BK77" i="6"/>
  <c r="BK114" i="6"/>
  <c r="AH114" i="6" s="1"/>
  <c r="X9" i="6"/>
  <c r="BL106" i="6"/>
  <c r="BL105" i="6" s="1"/>
  <c r="O92" i="6"/>
  <c r="O106" i="6" s="1"/>
  <c r="O110" i="6" s="1"/>
  <c r="X28" i="6"/>
  <c r="X69" i="6" s="1"/>
  <c r="O28" i="6"/>
  <c r="BN110" i="6"/>
  <c r="AH110" i="6" s="1"/>
  <c r="BN106" i="6"/>
  <c r="AH106" i="6" s="1"/>
  <c r="BM110" i="6"/>
  <c r="BM109" i="6" s="1"/>
  <c r="BM106" i="6"/>
  <c r="BM105" i="6" s="1"/>
  <c r="X33" i="6"/>
  <c r="X70" i="6" s="1"/>
  <c r="O33" i="6"/>
  <c r="O23" i="6"/>
  <c r="AG9" i="6"/>
  <c r="AG92" i="6"/>
  <c r="X92" i="6"/>
  <c r="BL110" i="6"/>
  <c r="BL109" i="6" s="1"/>
  <c r="O109" i="6" s="1"/>
  <c r="BK110" i="6"/>
  <c r="BK106" i="6"/>
  <c r="X106" i="6" s="1"/>
  <c r="AG59" i="6"/>
  <c r="AG64" i="6" s="1"/>
  <c r="X59" i="6"/>
  <c r="X64" i="6" s="1"/>
  <c r="BK85" i="6"/>
  <c r="BK82" i="6"/>
  <c r="BK75" i="6"/>
  <c r="BK93" i="6"/>
  <c r="BH95" i="6"/>
  <c r="BH115" i="6" s="1"/>
  <c r="BH114" i="6"/>
  <c r="BJ56" i="6"/>
  <c r="BJ57" i="6" s="1"/>
  <c r="BJ79" i="6"/>
  <c r="BJ84" i="6"/>
  <c r="BJ74" i="6"/>
  <c r="BJ75" i="6" s="1"/>
  <c r="BJ114" i="6"/>
  <c r="BI69" i="6"/>
  <c r="AG28" i="6"/>
  <c r="BI70" i="6"/>
  <c r="AG33" i="6"/>
  <c r="AG70" i="6" s="1"/>
  <c r="BJ90" i="6"/>
  <c r="AG90" i="6" s="1"/>
  <c r="BI68" i="6"/>
  <c r="AG23" i="6"/>
  <c r="BJ81" i="6"/>
  <c r="BJ82" i="6" s="1"/>
  <c r="N102" i="6"/>
  <c r="BI101" i="6"/>
  <c r="BI100" i="6" s="1"/>
  <c r="BI95" i="6"/>
  <c r="BI115" i="6" s="1"/>
  <c r="BI77" i="6"/>
  <c r="BI45" i="6"/>
  <c r="BI20" i="6"/>
  <c r="BI88" i="6" s="1"/>
  <c r="N46" i="6"/>
  <c r="N42" i="6"/>
  <c r="BH77" i="6"/>
  <c r="N51" i="6"/>
  <c r="N47" i="6"/>
  <c r="N52" i="6"/>
  <c r="N48" i="6"/>
  <c r="N41" i="6"/>
  <c r="N96" i="6"/>
  <c r="N95" i="6" s="1"/>
  <c r="N43" i="6"/>
  <c r="BH100" i="6"/>
  <c r="BH45" i="6"/>
  <c r="BH20" i="6"/>
  <c r="BL21" i="6" s="1"/>
  <c r="BI72" i="6" l="1"/>
  <c r="BH88" i="6"/>
  <c r="BJ85" i="6"/>
  <c r="BJ87" i="6"/>
  <c r="BJ88" i="6" s="1"/>
  <c r="BH72" i="6"/>
  <c r="O114" i="6"/>
  <c r="X68" i="6"/>
  <c r="AG68" i="6"/>
  <c r="X20" i="6"/>
  <c r="Y21" i="6" s="1"/>
  <c r="O20" i="6"/>
  <c r="O72" i="6" s="1"/>
  <c r="BN113" i="6"/>
  <c r="AH113" i="6" s="1"/>
  <c r="BM113" i="6"/>
  <c r="X45" i="6"/>
  <c r="AG56" i="6"/>
  <c r="Y109" i="6"/>
  <c r="O105" i="6"/>
  <c r="Y105" i="6"/>
  <c r="AG79" i="6"/>
  <c r="BJ77" i="6"/>
  <c r="O77" i="6" s="1"/>
  <c r="BN109" i="6"/>
  <c r="AH109" i="6" s="1"/>
  <c r="O74" i="6"/>
  <c r="O90" i="6"/>
  <c r="O56" i="6"/>
  <c r="BN105" i="6"/>
  <c r="AH105" i="6" s="1"/>
  <c r="O78" i="6"/>
  <c r="O45" i="6"/>
  <c r="O69" i="6"/>
  <c r="BM21" i="6"/>
  <c r="O70" i="6"/>
  <c r="O84" i="6"/>
  <c r="O87" i="6" s="1"/>
  <c r="O81" i="6"/>
  <c r="O68" i="6"/>
  <c r="O79" i="6"/>
  <c r="BL113" i="6"/>
  <c r="O113" i="6" s="1"/>
  <c r="X114" i="6"/>
  <c r="X81" i="6"/>
  <c r="X90" i="6"/>
  <c r="X56" i="6"/>
  <c r="X74" i="6"/>
  <c r="X84" i="6"/>
  <c r="X87" i="6" s="1"/>
  <c r="N115" i="6"/>
  <c r="BK113" i="6"/>
  <c r="X113" i="6" s="1"/>
  <c r="BK109" i="6"/>
  <c r="X109" i="6" s="1"/>
  <c r="X110" i="6"/>
  <c r="BK105" i="6"/>
  <c r="X105" i="6" s="1"/>
  <c r="AG74" i="6"/>
  <c r="AG45" i="6"/>
  <c r="AG69" i="6"/>
  <c r="AG78" i="6"/>
  <c r="AG84" i="6"/>
  <c r="AG87" i="6" s="1"/>
  <c r="AG81" i="6"/>
  <c r="BI75" i="6"/>
  <c r="AG20" i="6"/>
  <c r="AH21" i="6" s="1"/>
  <c r="BI57" i="6"/>
  <c r="BI67" i="6"/>
  <c r="BI93" i="6"/>
  <c r="BI85" i="6"/>
  <c r="BI82" i="6"/>
  <c r="N101" i="6"/>
  <c r="N100" i="6" s="1"/>
  <c r="BH57" i="6"/>
  <c r="BH85" i="6"/>
  <c r="BH82" i="6"/>
  <c r="BH93" i="6"/>
  <c r="BH75" i="6"/>
  <c r="BH67" i="6"/>
  <c r="AG88" i="6" l="1"/>
  <c r="X88" i="6"/>
  <c r="AG72" i="6"/>
  <c r="X57" i="6"/>
  <c r="X72" i="6"/>
  <c r="O88" i="6"/>
  <c r="X67" i="6"/>
  <c r="X85" i="6"/>
  <c r="X82" i="6"/>
  <c r="X93" i="6"/>
  <c r="P21" i="6"/>
  <c r="AG77" i="6"/>
  <c r="O57" i="6"/>
  <c r="O85" i="6"/>
  <c r="O67" i="6"/>
  <c r="O75" i="6"/>
  <c r="O82" i="6"/>
  <c r="X75" i="6"/>
  <c r="O93" i="6"/>
  <c r="AG67" i="6"/>
  <c r="AG93" i="6"/>
  <c r="AG82" i="6"/>
  <c r="AG75" i="6"/>
  <c r="AG85" i="6"/>
  <c r="AG57" i="6"/>
  <c r="W62" i="6"/>
  <c r="W61" i="6"/>
  <c r="W60" i="6"/>
  <c r="W35" i="6"/>
  <c r="W34" i="6"/>
  <c r="W31" i="6"/>
  <c r="W30" i="6"/>
  <c r="W29" i="6"/>
  <c r="W26" i="6"/>
  <c r="W25" i="6"/>
  <c r="W24" i="6"/>
  <c r="W16" i="6"/>
  <c r="W15" i="6"/>
  <c r="W12" i="6"/>
  <c r="W11" i="6"/>
  <c r="W10" i="6"/>
  <c r="W7" i="6"/>
  <c r="W6" i="6"/>
  <c r="W5" i="6"/>
  <c r="AF35" i="6"/>
  <c r="AF34" i="6"/>
  <c r="AF31" i="6"/>
  <c r="AF30" i="6"/>
  <c r="AF29" i="6"/>
  <c r="AF26" i="6"/>
  <c r="AF25" i="6"/>
  <c r="AF16" i="6"/>
  <c r="AF15" i="6"/>
  <c r="AF12" i="6"/>
  <c r="AF11" i="6"/>
  <c r="AF10" i="6"/>
  <c r="AF7" i="6"/>
  <c r="AF6" i="6"/>
  <c r="AF47" i="6" l="1"/>
  <c r="W42" i="6"/>
  <c r="W52" i="6"/>
  <c r="AF42" i="6"/>
  <c r="W41" i="6"/>
  <c r="W47" i="6"/>
  <c r="W48" i="6"/>
  <c r="AF52" i="6"/>
  <c r="W51" i="6"/>
  <c r="W46" i="6"/>
  <c r="W43" i="6"/>
  <c r="AF43" i="6"/>
  <c r="AF48" i="6"/>
  <c r="AF46" i="6"/>
  <c r="AF51" i="6"/>
  <c r="BG102" i="6" l="1"/>
  <c r="BG111" i="6"/>
  <c r="W111" i="6" s="1"/>
  <c r="BG107" i="6"/>
  <c r="W107" i="6" s="1"/>
  <c r="BG97" i="6"/>
  <c r="W97" i="6" s="1"/>
  <c r="BG96" i="6"/>
  <c r="BG59" i="6"/>
  <c r="BG64" i="6" s="1"/>
  <c r="BG52" i="6"/>
  <c r="BG51" i="6"/>
  <c r="BG48" i="6"/>
  <c r="BG47" i="6"/>
  <c r="BG46" i="6"/>
  <c r="BG43" i="6"/>
  <c r="BG42" i="6"/>
  <c r="BG41" i="6"/>
  <c r="BG33" i="6"/>
  <c r="BG70" i="6" s="1"/>
  <c r="BG28" i="6"/>
  <c r="BG69" i="6" s="1"/>
  <c r="BG23" i="6"/>
  <c r="BG9" i="6"/>
  <c r="AD28" i="4"/>
  <c r="BG84" i="6" s="1"/>
  <c r="BG87" i="6" s="1"/>
  <c r="AD27" i="4"/>
  <c r="AD26" i="4"/>
  <c r="BG81" i="6" s="1"/>
  <c r="AD24" i="4"/>
  <c r="AD22" i="4"/>
  <c r="BG92" i="6" s="1"/>
  <c r="AD21" i="4"/>
  <c r="AD20" i="4"/>
  <c r="AD19" i="4"/>
  <c r="BG90" i="6" s="1"/>
  <c r="AD18" i="4"/>
  <c r="AD17" i="4"/>
  <c r="BG79" i="6" s="1"/>
  <c r="AD16" i="4"/>
  <c r="BG78" i="6" s="1"/>
  <c r="AD15" i="4"/>
  <c r="AD14" i="4"/>
  <c r="BG114" i="6" s="1"/>
  <c r="AG114" i="6" s="1"/>
  <c r="AD13" i="4"/>
  <c r="AD12" i="4"/>
  <c r="AD11" i="4"/>
  <c r="AD10" i="4"/>
  <c r="BG74" i="6" s="1"/>
  <c r="AD9" i="4"/>
  <c r="BG56" i="6" s="1"/>
  <c r="AD8" i="4"/>
  <c r="AD7" i="4"/>
  <c r="BF102" i="6"/>
  <c r="BF23" i="6"/>
  <c r="BF33" i="6"/>
  <c r="BF28" i="6"/>
  <c r="BG68" i="6" l="1"/>
  <c r="BJ106" i="6"/>
  <c r="AG106" i="6" s="1"/>
  <c r="BJ110" i="6"/>
  <c r="AF102" i="6"/>
  <c r="W102" i="6"/>
  <c r="W96" i="6"/>
  <c r="W95" i="6" s="1"/>
  <c r="BG95" i="6"/>
  <c r="BG115" i="6" s="1"/>
  <c r="W115" i="6" s="1"/>
  <c r="BG101" i="6"/>
  <c r="W101" i="6" s="1"/>
  <c r="BG77" i="6"/>
  <c r="BG45" i="6"/>
  <c r="BG20" i="6"/>
  <c r="BK21" i="6" s="1"/>
  <c r="BF9" i="6"/>
  <c r="BF45" i="6" s="1"/>
  <c r="BF111" i="6"/>
  <c r="AF111" i="6" s="1"/>
  <c r="BF107" i="6"/>
  <c r="AF107" i="6" s="1"/>
  <c r="BF97" i="6"/>
  <c r="AF97" i="6" s="1"/>
  <c r="BF96" i="6"/>
  <c r="BF59" i="6"/>
  <c r="BF64" i="6" s="1"/>
  <c r="BF52" i="6"/>
  <c r="BF51" i="6"/>
  <c r="BF48" i="6"/>
  <c r="BF47" i="6"/>
  <c r="BF46" i="6"/>
  <c r="BF43" i="6"/>
  <c r="BF42" i="6"/>
  <c r="BF41" i="6"/>
  <c r="BF70" i="6"/>
  <c r="BF69" i="6"/>
  <c r="BF68" i="6"/>
  <c r="BF20" i="6"/>
  <c r="BJ21" i="6" s="1"/>
  <c r="AC28" i="4"/>
  <c r="BF84" i="6" s="1"/>
  <c r="BF87" i="6" s="1"/>
  <c r="AC27" i="4"/>
  <c r="AC26" i="4"/>
  <c r="BF81" i="6" s="1"/>
  <c r="AC24" i="4"/>
  <c r="AC22" i="4"/>
  <c r="BF92" i="6" s="1"/>
  <c r="AC21" i="4"/>
  <c r="AC20" i="4"/>
  <c r="AC19" i="4"/>
  <c r="BF90" i="6" s="1"/>
  <c r="AC18" i="4"/>
  <c r="AC17" i="4"/>
  <c r="BF79" i="6" s="1"/>
  <c r="AC16" i="4"/>
  <c r="BF78" i="6" s="1"/>
  <c r="AC15" i="4"/>
  <c r="AC14" i="4"/>
  <c r="AC13" i="4"/>
  <c r="AC12" i="4"/>
  <c r="AC11" i="4"/>
  <c r="AC10" i="4"/>
  <c r="BF74" i="6" s="1"/>
  <c r="AC9" i="4"/>
  <c r="BF56" i="6" s="1"/>
  <c r="AC8" i="4"/>
  <c r="AC7" i="4"/>
  <c r="BF88" i="6" l="1"/>
  <c r="BF72" i="6"/>
  <c r="BG72" i="6"/>
  <c r="BG88" i="6"/>
  <c r="BF95" i="6"/>
  <c r="AF96" i="6"/>
  <c r="AF95" i="6" s="1"/>
  <c r="BJ109" i="6"/>
  <c r="AG109" i="6" s="1"/>
  <c r="AG110" i="6"/>
  <c r="BJ105" i="6"/>
  <c r="AG105" i="6" s="1"/>
  <c r="BJ113" i="6"/>
  <c r="AG113" i="6" s="1"/>
  <c r="BG100" i="6"/>
  <c r="W100" i="6"/>
  <c r="BI110" i="6"/>
  <c r="BI109" i="6" s="1"/>
  <c r="BI106" i="6"/>
  <c r="BI105" i="6" s="1"/>
  <c r="BF114" i="6"/>
  <c r="BF101" i="6"/>
  <c r="BG67" i="6"/>
  <c r="BG93" i="6"/>
  <c r="BG85" i="6"/>
  <c r="BG82" i="6"/>
  <c r="BG75" i="6"/>
  <c r="BG57" i="6"/>
  <c r="BF57" i="6"/>
  <c r="BF77" i="6"/>
  <c r="BF67" i="6"/>
  <c r="BF75" i="6"/>
  <c r="BF82" i="6"/>
  <c r="BF85" i="6"/>
  <c r="BF115" i="6"/>
  <c r="AF115" i="6" s="1"/>
  <c r="BF93" i="6"/>
  <c r="BF100" i="6" l="1"/>
  <c r="AF101" i="6"/>
  <c r="AF100" i="6" s="1"/>
  <c r="BI113" i="6"/>
  <c r="BE43" i="6"/>
  <c r="BE102" i="6"/>
  <c r="BE33" i="6"/>
  <c r="N33" i="6" s="1"/>
  <c r="BE28" i="6"/>
  <c r="W28" i="6" s="1"/>
  <c r="BE23" i="6"/>
  <c r="BE9" i="6"/>
  <c r="N9" i="6" s="1"/>
  <c r="BE111" i="6"/>
  <c r="N23" i="6" l="1"/>
  <c r="AF23" i="6"/>
  <c r="W69" i="6"/>
  <c r="N28" i="6"/>
  <c r="N70" i="6"/>
  <c r="AF9" i="6"/>
  <c r="W9" i="6"/>
  <c r="W45" i="6" s="1"/>
  <c r="W23" i="6"/>
  <c r="AF33" i="6"/>
  <c r="AF70" i="6" s="1"/>
  <c r="W33" i="6"/>
  <c r="W70" i="6" s="1"/>
  <c r="BE69" i="6"/>
  <c r="AF28" i="6"/>
  <c r="AF69" i="6" s="1"/>
  <c r="BE20" i="6"/>
  <c r="BI21" i="6" s="1"/>
  <c r="W68" i="6" l="1"/>
  <c r="AF68" i="6"/>
  <c r="N68" i="6"/>
  <c r="N20" i="6"/>
  <c r="N45" i="6"/>
  <c r="N69" i="6"/>
  <c r="AF20" i="6"/>
  <c r="W20" i="6"/>
  <c r="X21" i="6" s="1"/>
  <c r="AF45" i="6"/>
  <c r="BE114" i="6"/>
  <c r="N114" i="6" s="1"/>
  <c r="BE107" i="6"/>
  <c r="BE97" i="6"/>
  <c r="BE96" i="6"/>
  <c r="BE92" i="6"/>
  <c r="BH106" i="6" s="1"/>
  <c r="BE90" i="6"/>
  <c r="N90" i="6" s="1"/>
  <c r="BE84" i="6"/>
  <c r="BE87" i="6" s="1"/>
  <c r="BE88" i="6" s="1"/>
  <c r="BE81" i="6"/>
  <c r="BE79" i="6"/>
  <c r="BE78" i="6"/>
  <c r="BE74" i="6"/>
  <c r="BE56" i="6"/>
  <c r="N84" i="6" l="1"/>
  <c r="N87" i="6" s="1"/>
  <c r="N88" i="6" s="1"/>
  <c r="W84" i="6"/>
  <c r="W87" i="6" s="1"/>
  <c r="W88" i="6" s="1"/>
  <c r="O21" i="6"/>
  <c r="BE95" i="6"/>
  <c r="AG21" i="6"/>
  <c r="N79" i="6"/>
  <c r="AF79" i="6"/>
  <c r="N56" i="6"/>
  <c r="N57" i="6" s="1"/>
  <c r="AF56" i="6"/>
  <c r="AF57" i="6" s="1"/>
  <c r="N74" i="6"/>
  <c r="N75" i="6" s="1"/>
  <c r="AF74" i="6"/>
  <c r="AF75" i="6" s="1"/>
  <c r="N78" i="6"/>
  <c r="AF78" i="6"/>
  <c r="N81" i="6"/>
  <c r="N82" i="6" s="1"/>
  <c r="AF81" i="6"/>
  <c r="AF82" i="6" s="1"/>
  <c r="N92" i="6"/>
  <c r="N93" i="6" s="1"/>
  <c r="AF92" i="6"/>
  <c r="AF93" i="6" s="1"/>
  <c r="BH110" i="6"/>
  <c r="BH109" i="6" s="1"/>
  <c r="N109" i="6" s="1"/>
  <c r="BH105" i="6"/>
  <c r="N105" i="6" s="1"/>
  <c r="W74" i="6"/>
  <c r="W75" i="6" s="1"/>
  <c r="AF90" i="6"/>
  <c r="W90" i="6"/>
  <c r="W81" i="6"/>
  <c r="W82" i="6" s="1"/>
  <c r="W92" i="6"/>
  <c r="W93" i="6" s="1"/>
  <c r="W56" i="6"/>
  <c r="W57" i="6" s="1"/>
  <c r="W79" i="6"/>
  <c r="AF84" i="6"/>
  <c r="AF87" i="6" s="1"/>
  <c r="AF88" i="6" s="1"/>
  <c r="W85" i="6"/>
  <c r="W78" i="6"/>
  <c r="BE77" i="6"/>
  <c r="N77" i="6" s="1"/>
  <c r="BE59" i="6"/>
  <c r="BE64" i="6" s="1"/>
  <c r="BE72" i="6" s="1"/>
  <c r="BE52" i="6"/>
  <c r="BE51" i="6"/>
  <c r="BE48" i="6"/>
  <c r="BE47" i="6"/>
  <c r="BE46" i="6"/>
  <c r="BE42" i="6"/>
  <c r="BE41" i="6"/>
  <c r="BE70" i="6"/>
  <c r="BE68" i="6"/>
  <c r="AV33" i="6"/>
  <c r="AW33" i="6"/>
  <c r="AX33" i="6"/>
  <c r="AY33" i="6"/>
  <c r="AZ33" i="6"/>
  <c r="BA33" i="6"/>
  <c r="BB33" i="6"/>
  <c r="BC33" i="6"/>
  <c r="BD33" i="6"/>
  <c r="AV28" i="6"/>
  <c r="AW28" i="6"/>
  <c r="AX28" i="6"/>
  <c r="AY28" i="6"/>
  <c r="AZ28" i="6"/>
  <c r="BA28" i="6"/>
  <c r="BB28" i="6"/>
  <c r="BC28" i="6"/>
  <c r="BD28" i="6"/>
  <c r="AW23" i="6"/>
  <c r="AX23" i="6"/>
  <c r="AY23" i="6"/>
  <c r="AZ23" i="6"/>
  <c r="BA23" i="6"/>
  <c r="BB23" i="6"/>
  <c r="BC23" i="6"/>
  <c r="BD23" i="6"/>
  <c r="AF85" i="6" l="1"/>
  <c r="N85" i="6"/>
  <c r="N106" i="6"/>
  <c r="N110" i="6" s="1"/>
  <c r="AF77" i="6"/>
  <c r="N59" i="6"/>
  <c r="N64" i="6" s="1"/>
  <c r="N72" i="6" s="1"/>
  <c r="AF59" i="6"/>
  <c r="W77" i="6"/>
  <c r="W59" i="6"/>
  <c r="BE115" i="6"/>
  <c r="BH113" i="6" s="1"/>
  <c r="N113" i="6" s="1"/>
  <c r="BE101" i="6"/>
  <c r="BE100" i="6" s="1"/>
  <c r="BE45" i="6"/>
  <c r="M62" i="6"/>
  <c r="M61" i="6"/>
  <c r="M60" i="6"/>
  <c r="M35" i="6"/>
  <c r="M34" i="6"/>
  <c r="M33" i="6"/>
  <c r="M31" i="6"/>
  <c r="M30" i="6"/>
  <c r="M29" i="6"/>
  <c r="M28" i="6"/>
  <c r="M26" i="6"/>
  <c r="M25" i="6"/>
  <c r="M24" i="6"/>
  <c r="M23" i="6"/>
  <c r="M16" i="6"/>
  <c r="M15" i="6"/>
  <c r="M12" i="6"/>
  <c r="M11" i="6"/>
  <c r="M10" i="6"/>
  <c r="M7" i="6"/>
  <c r="M6" i="6"/>
  <c r="M5" i="6"/>
  <c r="BD111" i="6"/>
  <c r="M111" i="6" s="1"/>
  <c r="BC111" i="6"/>
  <c r="BD102" i="6"/>
  <c r="BC102" i="6"/>
  <c r="BD9" i="6"/>
  <c r="BD107" i="6"/>
  <c r="BD97" i="6"/>
  <c r="M97" i="6" s="1"/>
  <c r="BD96" i="6"/>
  <c r="BD59" i="6"/>
  <c r="BD52" i="6"/>
  <c r="BD51" i="6"/>
  <c r="BD48" i="6"/>
  <c r="BD47" i="6"/>
  <c r="BD46" i="6"/>
  <c r="BD43" i="6"/>
  <c r="BD42" i="6"/>
  <c r="BD41" i="6"/>
  <c r="BD70" i="6"/>
  <c r="BD69" i="6"/>
  <c r="BD68" i="6"/>
  <c r="Z28" i="4"/>
  <c r="BD84" i="6" s="1"/>
  <c r="Z27" i="4"/>
  <c r="Z26" i="4"/>
  <c r="BD81" i="6" s="1"/>
  <c r="Z24" i="4"/>
  <c r="Z22" i="4"/>
  <c r="BD92" i="6" s="1"/>
  <c r="BG106" i="6" s="1"/>
  <c r="Z21" i="4"/>
  <c r="Z20" i="4"/>
  <c r="Z19" i="4"/>
  <c r="BD90" i="6" s="1"/>
  <c r="Z18" i="4"/>
  <c r="Z17" i="4"/>
  <c r="BD79" i="6" s="1"/>
  <c r="Z16" i="4"/>
  <c r="BD78" i="6" s="1"/>
  <c r="Z15" i="4"/>
  <c r="Z14" i="4"/>
  <c r="Z13" i="4"/>
  <c r="Z12" i="4"/>
  <c r="Z11" i="4"/>
  <c r="Z10" i="4"/>
  <c r="BD74" i="6" s="1"/>
  <c r="Z9" i="4"/>
  <c r="BD56" i="6" s="1"/>
  <c r="Z8" i="4"/>
  <c r="Z7" i="4"/>
  <c r="Z4" i="4"/>
  <c r="AH4" i="3"/>
  <c r="T11" i="5"/>
  <c r="V62" i="6"/>
  <c r="V61" i="6"/>
  <c r="V60" i="6"/>
  <c r="V35" i="6"/>
  <c r="V34" i="6"/>
  <c r="V31" i="6"/>
  <c r="V30" i="6"/>
  <c r="V29" i="6"/>
  <c r="V25" i="6"/>
  <c r="V26" i="6"/>
  <c r="V24" i="6"/>
  <c r="V16" i="6"/>
  <c r="V15" i="6"/>
  <c r="V12" i="6"/>
  <c r="V11" i="6"/>
  <c r="V10" i="6"/>
  <c r="V7" i="6"/>
  <c r="V6" i="6"/>
  <c r="V5" i="6"/>
  <c r="AF67" i="6" l="1"/>
  <c r="AF64" i="6"/>
  <c r="AF72" i="6" s="1"/>
  <c r="W67" i="6"/>
  <c r="W64" i="6"/>
  <c r="W72" i="6" s="1"/>
  <c r="N67" i="6"/>
  <c r="V51" i="6"/>
  <c r="M102" i="6"/>
  <c r="BD101" i="6"/>
  <c r="BD100" i="6" s="1"/>
  <c r="BD95" i="6"/>
  <c r="BD115" i="6" s="1"/>
  <c r="M115" i="6" s="1"/>
  <c r="BG110" i="6"/>
  <c r="BD114" i="6"/>
  <c r="W114" i="6" s="1"/>
  <c r="M43" i="6"/>
  <c r="M9" i="6"/>
  <c r="M45" i="6" s="1"/>
  <c r="M51" i="6"/>
  <c r="V41" i="6"/>
  <c r="V43" i="6"/>
  <c r="M42" i="6"/>
  <c r="M52" i="6"/>
  <c r="M48" i="6"/>
  <c r="V52" i="6"/>
  <c r="BD77" i="6"/>
  <c r="M107" i="6"/>
  <c r="M96" i="6"/>
  <c r="M95" i="6" s="1"/>
  <c r="BE85" i="6"/>
  <c r="BE93" i="6"/>
  <c r="BE75" i="6"/>
  <c r="BE57" i="6"/>
  <c r="BE82" i="6"/>
  <c r="BE67" i="6"/>
  <c r="M70" i="6"/>
  <c r="M69" i="6"/>
  <c r="M68" i="6"/>
  <c r="M47" i="6"/>
  <c r="M46" i="6"/>
  <c r="M41" i="6"/>
  <c r="BD20" i="6"/>
  <c r="BD72" i="6" s="1"/>
  <c r="BD45" i="6"/>
  <c r="V42" i="6"/>
  <c r="V48" i="6"/>
  <c r="V46" i="6"/>
  <c r="V47" i="6"/>
  <c r="BC9" i="6"/>
  <c r="M101" i="6" l="1"/>
  <c r="M100" i="6" s="1"/>
  <c r="BG113" i="6"/>
  <c r="W113" i="6" s="1"/>
  <c r="BD75" i="6"/>
  <c r="BH21" i="6"/>
  <c r="BG105" i="6"/>
  <c r="W105" i="6" s="1"/>
  <c r="W106" i="6"/>
  <c r="BG109" i="6"/>
  <c r="W109" i="6" s="1"/>
  <c r="W110" i="6"/>
  <c r="BD67" i="6"/>
  <c r="BD57" i="6"/>
  <c r="BD93" i="6"/>
  <c r="BD85" i="6"/>
  <c r="BD82" i="6"/>
  <c r="V111" i="6"/>
  <c r="BC107" i="6"/>
  <c r="V107" i="6" s="1"/>
  <c r="V102" i="6"/>
  <c r="BC97" i="6"/>
  <c r="V97" i="6" s="1"/>
  <c r="BC96" i="6"/>
  <c r="BC59" i="6"/>
  <c r="BC52" i="6"/>
  <c r="BC51" i="6"/>
  <c r="BC48" i="6"/>
  <c r="BC47" i="6"/>
  <c r="BC46" i="6"/>
  <c r="BC43" i="6"/>
  <c r="BC42" i="6"/>
  <c r="BC41" i="6"/>
  <c r="BC70" i="6"/>
  <c r="BC69" i="6"/>
  <c r="BC68" i="6"/>
  <c r="Y28" i="4"/>
  <c r="BC84" i="6" s="1"/>
  <c r="Y27" i="4"/>
  <c r="Y26" i="4"/>
  <c r="BC81" i="6" s="1"/>
  <c r="Y24" i="4"/>
  <c r="Y22" i="4"/>
  <c r="BC92" i="6" s="1"/>
  <c r="Y21" i="4"/>
  <c r="Y20" i="4"/>
  <c r="Y19" i="4"/>
  <c r="BC90" i="6" s="1"/>
  <c r="Y18" i="4"/>
  <c r="Y17" i="4"/>
  <c r="BC79" i="6" s="1"/>
  <c r="Y16" i="4"/>
  <c r="BC78" i="6" s="1"/>
  <c r="Y15" i="4"/>
  <c r="Y14" i="4"/>
  <c r="BC114" i="6" s="1"/>
  <c r="AF114" i="6" s="1"/>
  <c r="Y13" i="4"/>
  <c r="Y12" i="4"/>
  <c r="Y11" i="4"/>
  <c r="Y10" i="4"/>
  <c r="BC74" i="6" s="1"/>
  <c r="Y9" i="4"/>
  <c r="BC56" i="6" s="1"/>
  <c r="Y8" i="4"/>
  <c r="Y7" i="4"/>
  <c r="Y4" i="4"/>
  <c r="AG4" i="3"/>
  <c r="AE62" i="6"/>
  <c r="AE61" i="6"/>
  <c r="AE60" i="6"/>
  <c r="AE35" i="6"/>
  <c r="AE34" i="6"/>
  <c r="AE31" i="6"/>
  <c r="AE30" i="6"/>
  <c r="AE29" i="6"/>
  <c r="AE26" i="6"/>
  <c r="AE25" i="6"/>
  <c r="AE24" i="6"/>
  <c r="AE16" i="6"/>
  <c r="AE15" i="6"/>
  <c r="AE12" i="6"/>
  <c r="AE11" i="6"/>
  <c r="AE10" i="6"/>
  <c r="AE7" i="6"/>
  <c r="AE6" i="6"/>
  <c r="AE5" i="6"/>
  <c r="BB102" i="6"/>
  <c r="BB111" i="6"/>
  <c r="BB107" i="6"/>
  <c r="BB97" i="6"/>
  <c r="AE97" i="6" s="1"/>
  <c r="BB96" i="6"/>
  <c r="BB59" i="6"/>
  <c r="BB52" i="6"/>
  <c r="BB51" i="6"/>
  <c r="BB48" i="6"/>
  <c r="BB47" i="6"/>
  <c r="BB46" i="6"/>
  <c r="BB43" i="6"/>
  <c r="BB42" i="6"/>
  <c r="BB41" i="6"/>
  <c r="BB70" i="6"/>
  <c r="BB9" i="6"/>
  <c r="X28" i="4"/>
  <c r="BB84" i="6" s="1"/>
  <c r="X27" i="4"/>
  <c r="X26" i="4"/>
  <c r="BB81" i="6" s="1"/>
  <c r="X24" i="4"/>
  <c r="X22" i="4"/>
  <c r="BB92" i="6" s="1"/>
  <c r="X21" i="4"/>
  <c r="X20" i="4"/>
  <c r="X19" i="4"/>
  <c r="BB90" i="6" s="1"/>
  <c r="X18" i="4"/>
  <c r="X17" i="4"/>
  <c r="BB79" i="6" s="1"/>
  <c r="X16" i="4"/>
  <c r="BB78" i="6" s="1"/>
  <c r="X15" i="4"/>
  <c r="X14" i="4"/>
  <c r="X13" i="4"/>
  <c r="X12" i="4"/>
  <c r="X11" i="4"/>
  <c r="X10" i="4"/>
  <c r="BB74" i="6" s="1"/>
  <c r="X9" i="4"/>
  <c r="BB56" i="6" s="1"/>
  <c r="X8" i="4"/>
  <c r="X7" i="4"/>
  <c r="X4" i="4"/>
  <c r="AF4" i="3"/>
  <c r="AV9" i="6"/>
  <c r="AW9" i="6"/>
  <c r="AX9" i="6"/>
  <c r="AY9" i="6"/>
  <c r="AZ9" i="6"/>
  <c r="BA9" i="6"/>
  <c r="BA111" i="6"/>
  <c r="BA107" i="6"/>
  <c r="BA102" i="6"/>
  <c r="BA97" i="6"/>
  <c r="BA96" i="6"/>
  <c r="BA52" i="6"/>
  <c r="BA51" i="6"/>
  <c r="BA48" i="6"/>
  <c r="BA47" i="6"/>
  <c r="BA46" i="6"/>
  <c r="BA43" i="6"/>
  <c r="BA42" i="6"/>
  <c r="BA41" i="6"/>
  <c r="BE106" i="6" l="1"/>
  <c r="BE105" i="6" s="1"/>
  <c r="BB95" i="6"/>
  <c r="BB115" i="6" s="1"/>
  <c r="AE115" i="6" s="1"/>
  <c r="BF110" i="6"/>
  <c r="AF110" i="6" s="1"/>
  <c r="BF106" i="6"/>
  <c r="AF106" i="6" s="1"/>
  <c r="AE102" i="6"/>
  <c r="BA101" i="6"/>
  <c r="BA100" i="6" s="1"/>
  <c r="BA95" i="6"/>
  <c r="BA115" i="6" s="1"/>
  <c r="BC95" i="6"/>
  <c r="BC115" i="6" s="1"/>
  <c r="V115" i="6" s="1"/>
  <c r="BB114" i="6"/>
  <c r="BE110" i="6"/>
  <c r="BE109" i="6" s="1"/>
  <c r="AE107" i="6"/>
  <c r="AE111" i="6"/>
  <c r="BC77" i="6"/>
  <c r="BA69" i="6"/>
  <c r="V28" i="6"/>
  <c r="BA70" i="6"/>
  <c r="V33" i="6"/>
  <c r="V70" i="6" s="1"/>
  <c r="BC101" i="6"/>
  <c r="BC100" i="6" s="1"/>
  <c r="V96" i="6"/>
  <c r="V95" i="6" s="1"/>
  <c r="BA68" i="6"/>
  <c r="V23" i="6"/>
  <c r="AE9" i="6"/>
  <c r="V9" i="6"/>
  <c r="AE51" i="6"/>
  <c r="AE96" i="6"/>
  <c r="AE95" i="6" s="1"/>
  <c r="BC45" i="6"/>
  <c r="BC20" i="6"/>
  <c r="BC72" i="6" s="1"/>
  <c r="AE52" i="6"/>
  <c r="AE41" i="6"/>
  <c r="AE42" i="6"/>
  <c r="AE43" i="6"/>
  <c r="AE46" i="6"/>
  <c r="BB77" i="6"/>
  <c r="AE47" i="6"/>
  <c r="AE48" i="6"/>
  <c r="AE33" i="6"/>
  <c r="AE70" i="6" s="1"/>
  <c r="AE28" i="6"/>
  <c r="AE23" i="6"/>
  <c r="BB20" i="6"/>
  <c r="BB45" i="6"/>
  <c r="BB68" i="6"/>
  <c r="BB69" i="6"/>
  <c r="BB101" i="6"/>
  <c r="BB100" i="6" s="1"/>
  <c r="BA59" i="6"/>
  <c r="M59" i="6" s="1"/>
  <c r="M64" i="6" s="1"/>
  <c r="BA45" i="6"/>
  <c r="BA20" i="6"/>
  <c r="BE21" i="6" l="1"/>
  <c r="BA72" i="6"/>
  <c r="BF21" i="6"/>
  <c r="BB72" i="6"/>
  <c r="AE68" i="6"/>
  <c r="V68" i="6"/>
  <c r="BF109" i="6"/>
  <c r="AF109" i="6" s="1"/>
  <c r="BF105" i="6"/>
  <c r="AF105" i="6" s="1"/>
  <c r="BC93" i="6"/>
  <c r="BG21" i="6"/>
  <c r="BF113" i="6"/>
  <c r="AF113" i="6" s="1"/>
  <c r="BE113" i="6"/>
  <c r="AE20" i="6"/>
  <c r="M20" i="6"/>
  <c r="N21" i="6" s="1"/>
  <c r="V101" i="6"/>
  <c r="V100" i="6" s="1"/>
  <c r="AE59" i="6"/>
  <c r="V59" i="6"/>
  <c r="V45" i="6"/>
  <c r="V69" i="6"/>
  <c r="BC75" i="6"/>
  <c r="BC67" i="6"/>
  <c r="BC57" i="6"/>
  <c r="BC82" i="6"/>
  <c r="BC85" i="6"/>
  <c r="AE101" i="6"/>
  <c r="AE100" i="6" s="1"/>
  <c r="AE69" i="6"/>
  <c r="AE45" i="6"/>
  <c r="BB82" i="6"/>
  <c r="BB67" i="6"/>
  <c r="BB93" i="6"/>
  <c r="BB57" i="6"/>
  <c r="BB75" i="6"/>
  <c r="BB85" i="6"/>
  <c r="BA67" i="6"/>
  <c r="M72" i="6" l="1"/>
  <c r="AF21" i="6"/>
  <c r="AE72" i="6"/>
  <c r="AE67" i="6"/>
  <c r="M67" i="6"/>
  <c r="W28" i="4"/>
  <c r="BA84" i="6" s="1"/>
  <c r="W27" i="4"/>
  <c r="W26" i="4"/>
  <c r="BA81" i="6" s="1"/>
  <c r="W24" i="4"/>
  <c r="W22" i="4"/>
  <c r="BA92" i="6" s="1"/>
  <c r="W21" i="4"/>
  <c r="W20" i="4"/>
  <c r="W19" i="4"/>
  <c r="BA90" i="6" s="1"/>
  <c r="M90" i="6" s="1"/>
  <c r="W18" i="4"/>
  <c r="W17" i="4"/>
  <c r="BA79" i="6" s="1"/>
  <c r="M79" i="6" s="1"/>
  <c r="W16" i="4"/>
  <c r="BA78" i="6" s="1"/>
  <c r="W15" i="4"/>
  <c r="W14" i="4"/>
  <c r="W13" i="4"/>
  <c r="W12" i="4"/>
  <c r="W11" i="4"/>
  <c r="W10" i="4"/>
  <c r="BA74" i="6" s="1"/>
  <c r="W9" i="4"/>
  <c r="BA56" i="6" s="1"/>
  <c r="W8" i="4"/>
  <c r="W7" i="4"/>
  <c r="W4" i="4"/>
  <c r="V4" i="4"/>
  <c r="AE4" i="3"/>
  <c r="AD4" i="3"/>
  <c r="BA114" i="6" l="1"/>
  <c r="BD113" i="6" s="1"/>
  <c r="M113" i="6" s="1"/>
  <c r="V92" i="6"/>
  <c r="BD106" i="6"/>
  <c r="BD105" i="6" s="1"/>
  <c r="M105" i="6" s="1"/>
  <c r="M92" i="6"/>
  <c r="BD110" i="6"/>
  <c r="BD109" i="6" s="1"/>
  <c r="M109" i="6" s="1"/>
  <c r="V74" i="6"/>
  <c r="M74" i="6"/>
  <c r="M75" i="6" s="1"/>
  <c r="V84" i="6"/>
  <c r="M84" i="6"/>
  <c r="M87" i="6" s="1"/>
  <c r="M88" i="6" s="1"/>
  <c r="V78" i="6"/>
  <c r="M78" i="6"/>
  <c r="M77" i="6" s="1"/>
  <c r="V81" i="6"/>
  <c r="M81" i="6"/>
  <c r="M82" i="6" s="1"/>
  <c r="V56" i="6"/>
  <c r="M56" i="6"/>
  <c r="M57" i="6" s="1"/>
  <c r="AE79" i="6"/>
  <c r="V79" i="6"/>
  <c r="AE90" i="6"/>
  <c r="V90" i="6"/>
  <c r="BA93" i="6"/>
  <c r="AE92" i="6"/>
  <c r="AE93" i="6" s="1"/>
  <c r="BA77" i="6"/>
  <c r="AE78" i="6"/>
  <c r="BA82" i="6"/>
  <c r="AE81" i="6"/>
  <c r="AE82" i="6" s="1"/>
  <c r="BA57" i="6"/>
  <c r="AE56" i="6"/>
  <c r="AE57" i="6" s="1"/>
  <c r="BA75" i="6"/>
  <c r="AE74" i="6"/>
  <c r="AE75" i="6" s="1"/>
  <c r="BA85" i="6"/>
  <c r="AE84" i="6"/>
  <c r="L61" i="6"/>
  <c r="L60" i="6"/>
  <c r="L35" i="6"/>
  <c r="L34" i="6"/>
  <c r="L31" i="6"/>
  <c r="L30" i="6"/>
  <c r="L29" i="6"/>
  <c r="L26" i="6"/>
  <c r="L25" i="6"/>
  <c r="L24" i="6"/>
  <c r="L16" i="6"/>
  <c r="L15" i="6"/>
  <c r="L12" i="6"/>
  <c r="L11" i="6"/>
  <c r="L10" i="6"/>
  <c r="L7" i="6"/>
  <c r="L6" i="6"/>
  <c r="L5" i="6"/>
  <c r="AY111" i="6"/>
  <c r="AZ111" i="6"/>
  <c r="L111" i="6" s="1"/>
  <c r="AY102" i="6"/>
  <c r="AZ102" i="6"/>
  <c r="AZ107" i="6"/>
  <c r="L107" i="6" s="1"/>
  <c r="AZ97" i="6"/>
  <c r="L97" i="6" s="1"/>
  <c r="AZ96" i="6"/>
  <c r="AZ59" i="6"/>
  <c r="AZ52" i="6"/>
  <c r="AZ51" i="6"/>
  <c r="AZ48" i="6"/>
  <c r="AZ47" i="6"/>
  <c r="AZ46" i="6"/>
  <c r="AZ43" i="6"/>
  <c r="AZ42" i="6"/>
  <c r="AZ41" i="6"/>
  <c r="AZ69" i="6"/>
  <c r="AZ68" i="6"/>
  <c r="U7" i="4"/>
  <c r="U8" i="4"/>
  <c r="U9" i="4"/>
  <c r="AZ56" i="6" s="1"/>
  <c r="U10" i="4"/>
  <c r="AZ74" i="6" s="1"/>
  <c r="U11" i="4"/>
  <c r="U12" i="4"/>
  <c r="U13" i="4"/>
  <c r="U14" i="4"/>
  <c r="U15" i="4"/>
  <c r="U16" i="4"/>
  <c r="AZ78" i="6" s="1"/>
  <c r="U17" i="4"/>
  <c r="AZ79" i="6" s="1"/>
  <c r="U18" i="4"/>
  <c r="U19" i="4"/>
  <c r="AZ90" i="6" s="1"/>
  <c r="U20" i="4"/>
  <c r="U21" i="4"/>
  <c r="U22" i="4"/>
  <c r="AZ92" i="6" s="1"/>
  <c r="U24" i="4"/>
  <c r="U26" i="4"/>
  <c r="AZ81" i="6" s="1"/>
  <c r="U27" i="4"/>
  <c r="U28" i="4"/>
  <c r="AZ84" i="6" s="1"/>
  <c r="U4" i="4"/>
  <c r="AC4" i="3"/>
  <c r="K60" i="6"/>
  <c r="J60" i="6"/>
  <c r="I60" i="6"/>
  <c r="U60" i="6"/>
  <c r="T60" i="6"/>
  <c r="S60" i="6"/>
  <c r="R60" i="6"/>
  <c r="AD60" i="6"/>
  <c r="AC60" i="6"/>
  <c r="AB60" i="6"/>
  <c r="AA60" i="6"/>
  <c r="E59" i="6"/>
  <c r="E64" i="6" s="1"/>
  <c r="H59" i="6"/>
  <c r="H64" i="6" s="1"/>
  <c r="C59" i="6"/>
  <c r="C64" i="6" s="1"/>
  <c r="D59" i="6"/>
  <c r="D64" i="6" s="1"/>
  <c r="F59" i="6"/>
  <c r="F64" i="6" s="1"/>
  <c r="B59" i="6"/>
  <c r="B64" i="6" s="1"/>
  <c r="D56" i="6"/>
  <c r="E56" i="6"/>
  <c r="F56" i="6"/>
  <c r="G56" i="6"/>
  <c r="H56" i="6"/>
  <c r="C56" i="6"/>
  <c r="B56" i="6"/>
  <c r="H33" i="6"/>
  <c r="G33" i="6"/>
  <c r="F33" i="6"/>
  <c r="E33" i="6"/>
  <c r="D33" i="6"/>
  <c r="H28" i="6"/>
  <c r="H69" i="6" s="1"/>
  <c r="G28" i="6"/>
  <c r="I8" i="7" s="1"/>
  <c r="F28" i="6"/>
  <c r="E28" i="6"/>
  <c r="D28" i="6"/>
  <c r="D69" i="6" s="1"/>
  <c r="C28" i="6"/>
  <c r="C45" i="6" s="1"/>
  <c r="B28" i="6"/>
  <c r="B23" i="6"/>
  <c r="C23" i="6"/>
  <c r="D23" i="6"/>
  <c r="E23" i="6"/>
  <c r="F23" i="6"/>
  <c r="G23" i="6"/>
  <c r="H23" i="6"/>
  <c r="H84" i="6"/>
  <c r="H87" i="6" s="1"/>
  <c r="G84" i="6"/>
  <c r="G87" i="6" s="1"/>
  <c r="F84" i="6"/>
  <c r="F87" i="6" s="1"/>
  <c r="E84" i="6"/>
  <c r="E87" i="6" s="1"/>
  <c r="D84" i="6"/>
  <c r="D87" i="6" s="1"/>
  <c r="C84" i="6"/>
  <c r="C87" i="6" s="1"/>
  <c r="B84" i="6"/>
  <c r="B87" i="6" s="1"/>
  <c r="H114" i="6"/>
  <c r="G114" i="6"/>
  <c r="F114" i="6"/>
  <c r="E114" i="6"/>
  <c r="D114" i="6"/>
  <c r="C114" i="6"/>
  <c r="B114" i="6"/>
  <c r="AY107" i="6"/>
  <c r="AX107" i="6"/>
  <c r="AX111" i="6" s="1"/>
  <c r="AD111" i="6" s="1"/>
  <c r="AW107" i="6"/>
  <c r="AV107" i="6"/>
  <c r="AU107" i="6"/>
  <c r="T107" i="6" s="1"/>
  <c r="AT107" i="6"/>
  <c r="AC107" i="6" s="1"/>
  <c r="AS107" i="6"/>
  <c r="AS111" i="6" s="1"/>
  <c r="AR107" i="6"/>
  <c r="J107" i="6" s="1"/>
  <c r="AQ107" i="6"/>
  <c r="AQ111" i="6" s="1"/>
  <c r="S111" i="6" s="1"/>
  <c r="AP107" i="6"/>
  <c r="AO107" i="6"/>
  <c r="AO111" i="6" s="1"/>
  <c r="AN107" i="6"/>
  <c r="AN111" i="6" s="1"/>
  <c r="I111" i="6" s="1"/>
  <c r="AM107" i="6"/>
  <c r="AL107" i="6"/>
  <c r="AK107" i="6"/>
  <c r="AK111" i="6" s="1"/>
  <c r="H107" i="6"/>
  <c r="G107" i="6"/>
  <c r="G111" i="6" s="1"/>
  <c r="F107" i="6"/>
  <c r="F111" i="6" s="1"/>
  <c r="E107" i="6"/>
  <c r="D107" i="6"/>
  <c r="C107" i="6"/>
  <c r="C111" i="6" s="1"/>
  <c r="B107" i="6"/>
  <c r="AY97" i="6"/>
  <c r="AX97" i="6"/>
  <c r="AW97" i="6"/>
  <c r="AV97" i="6"/>
  <c r="K97" i="6" s="1"/>
  <c r="AU97" i="6"/>
  <c r="AU102" i="6" s="1"/>
  <c r="AT97" i="6"/>
  <c r="AT102" i="6" s="1"/>
  <c r="AS97" i="6"/>
  <c r="AS102" i="6" s="1"/>
  <c r="AR97" i="6"/>
  <c r="AR102" i="6" s="1"/>
  <c r="AQ97" i="6"/>
  <c r="AP97" i="6"/>
  <c r="AB97" i="6" s="1"/>
  <c r="AO97" i="6"/>
  <c r="AO102" i="6" s="1"/>
  <c r="AN97" i="6"/>
  <c r="AN102" i="6" s="1"/>
  <c r="AM97" i="6"/>
  <c r="AM102" i="6" s="1"/>
  <c r="AL97" i="6"/>
  <c r="AL102" i="6" s="1"/>
  <c r="AK97" i="6"/>
  <c r="AK102" i="6" s="1"/>
  <c r="H97" i="6"/>
  <c r="G97" i="6"/>
  <c r="F97" i="6"/>
  <c r="E97" i="6"/>
  <c r="D97" i="6"/>
  <c r="C97" i="6"/>
  <c r="B97" i="6"/>
  <c r="AY96" i="6"/>
  <c r="AY95" i="6" s="1"/>
  <c r="AX96" i="6"/>
  <c r="AW96" i="6"/>
  <c r="AV96" i="6"/>
  <c r="AU96" i="6"/>
  <c r="AT96" i="6"/>
  <c r="AS96" i="6"/>
  <c r="AR96" i="6"/>
  <c r="AQ96" i="6"/>
  <c r="AP96" i="6"/>
  <c r="AO96" i="6"/>
  <c r="AN96" i="6"/>
  <c r="AM96" i="6"/>
  <c r="AL96" i="6"/>
  <c r="AK96" i="6"/>
  <c r="H96" i="6"/>
  <c r="G96" i="6"/>
  <c r="F96" i="6"/>
  <c r="E96" i="6"/>
  <c r="D96" i="6"/>
  <c r="C96" i="6"/>
  <c r="B96" i="6"/>
  <c r="H92" i="6"/>
  <c r="H106" i="6" s="1"/>
  <c r="G92" i="6"/>
  <c r="F92" i="6"/>
  <c r="E92" i="6"/>
  <c r="E106" i="6" s="1"/>
  <c r="D92" i="6"/>
  <c r="C92" i="6"/>
  <c r="C106" i="6" s="1"/>
  <c r="B92" i="6"/>
  <c r="B106" i="6" s="1"/>
  <c r="H90" i="6"/>
  <c r="G90" i="6"/>
  <c r="F90" i="6"/>
  <c r="E90" i="6"/>
  <c r="D90" i="6"/>
  <c r="C90" i="6"/>
  <c r="B90" i="6"/>
  <c r="H81" i="6"/>
  <c r="G81" i="6"/>
  <c r="F81" i="6"/>
  <c r="E81" i="6"/>
  <c r="D81" i="6"/>
  <c r="C81" i="6"/>
  <c r="B81" i="6"/>
  <c r="H79" i="6"/>
  <c r="G79" i="6"/>
  <c r="F79" i="6"/>
  <c r="E79" i="6"/>
  <c r="D79" i="6"/>
  <c r="C79" i="6"/>
  <c r="B79" i="6"/>
  <c r="H78" i="6"/>
  <c r="G78" i="6"/>
  <c r="F78" i="6"/>
  <c r="E78" i="6"/>
  <c r="D78" i="6"/>
  <c r="C78" i="6"/>
  <c r="B78" i="6"/>
  <c r="H74" i="6"/>
  <c r="G74" i="6"/>
  <c r="F74" i="6"/>
  <c r="E74" i="6"/>
  <c r="D74" i="6"/>
  <c r="C74" i="6"/>
  <c r="B74" i="6"/>
  <c r="L62" i="6"/>
  <c r="AY52" i="6"/>
  <c r="AX52" i="6"/>
  <c r="AW52" i="6"/>
  <c r="AV52" i="6"/>
  <c r="AU52" i="6"/>
  <c r="AT52" i="6"/>
  <c r="AS52" i="6"/>
  <c r="AR52" i="6"/>
  <c r="AQ52" i="6"/>
  <c r="AP52" i="6"/>
  <c r="AO52" i="6"/>
  <c r="AN52" i="6"/>
  <c r="AM52" i="6"/>
  <c r="AL52" i="6"/>
  <c r="AK52" i="6"/>
  <c r="H52" i="6"/>
  <c r="G52" i="6"/>
  <c r="K36" i="8" s="1"/>
  <c r="F52" i="6"/>
  <c r="E52" i="6"/>
  <c r="D52" i="6"/>
  <c r="AY51" i="6"/>
  <c r="AX51" i="6"/>
  <c r="AW51" i="6"/>
  <c r="AV51" i="6"/>
  <c r="AU51" i="6"/>
  <c r="AT51" i="6"/>
  <c r="AS51" i="6"/>
  <c r="AR51" i="6"/>
  <c r="AQ51" i="6"/>
  <c r="AP51" i="6"/>
  <c r="AO51" i="6"/>
  <c r="AN51" i="6"/>
  <c r="AM51" i="6"/>
  <c r="AL51" i="6"/>
  <c r="AK51" i="6"/>
  <c r="H51" i="6"/>
  <c r="G51" i="6"/>
  <c r="E36" i="8" s="1"/>
  <c r="F51" i="6"/>
  <c r="E51" i="6"/>
  <c r="AY48" i="6"/>
  <c r="AX48" i="6"/>
  <c r="AW48" i="6"/>
  <c r="AV48" i="6"/>
  <c r="AU48" i="6"/>
  <c r="AT48" i="6"/>
  <c r="AS48" i="6"/>
  <c r="AR48" i="6"/>
  <c r="AQ48" i="6"/>
  <c r="AP48" i="6"/>
  <c r="AO48" i="6"/>
  <c r="AN48" i="6"/>
  <c r="AM48" i="6"/>
  <c r="AL48" i="6"/>
  <c r="AK48" i="6"/>
  <c r="H48" i="6"/>
  <c r="G48" i="6"/>
  <c r="F48" i="6"/>
  <c r="E48" i="6"/>
  <c r="D48" i="6"/>
  <c r="C48" i="6"/>
  <c r="B48" i="6"/>
  <c r="AY47" i="6"/>
  <c r="AX47" i="6"/>
  <c r="AW47" i="6"/>
  <c r="AV47" i="6"/>
  <c r="AU47" i="6"/>
  <c r="AT47" i="6"/>
  <c r="AS47" i="6"/>
  <c r="AQ47" i="6"/>
  <c r="AP47" i="6"/>
  <c r="AO47" i="6"/>
  <c r="AN47" i="6"/>
  <c r="AK47" i="6"/>
  <c r="H47" i="6"/>
  <c r="G47" i="6"/>
  <c r="F47" i="6"/>
  <c r="E47" i="6"/>
  <c r="D47" i="6"/>
  <c r="C47" i="6"/>
  <c r="B47" i="6"/>
  <c r="AY46" i="6"/>
  <c r="AX46" i="6"/>
  <c r="AW46" i="6"/>
  <c r="AV46" i="6"/>
  <c r="AU46" i="6"/>
  <c r="AT46" i="6"/>
  <c r="AS46" i="6"/>
  <c r="AR46" i="6"/>
  <c r="AQ46" i="6"/>
  <c r="AP46" i="6"/>
  <c r="AO46" i="6"/>
  <c r="AN46" i="6"/>
  <c r="AM46" i="6"/>
  <c r="AL46" i="6"/>
  <c r="AK46" i="6"/>
  <c r="H46" i="6"/>
  <c r="G46" i="6"/>
  <c r="F46" i="6"/>
  <c r="E46" i="6"/>
  <c r="D46" i="6"/>
  <c r="C46" i="6"/>
  <c r="B46" i="6"/>
  <c r="AY43" i="6"/>
  <c r="AX43" i="6"/>
  <c r="AW43" i="6"/>
  <c r="AV43" i="6"/>
  <c r="AU43" i="6"/>
  <c r="AT43" i="6"/>
  <c r="AS43" i="6"/>
  <c r="AR43" i="6"/>
  <c r="AQ43" i="6"/>
  <c r="AP43" i="6"/>
  <c r="AO43" i="6"/>
  <c r="AN43" i="6"/>
  <c r="AM43" i="6"/>
  <c r="AL43" i="6"/>
  <c r="AK43" i="6"/>
  <c r="H43" i="6"/>
  <c r="G43" i="6"/>
  <c r="E21" i="8" s="1"/>
  <c r="F43" i="6"/>
  <c r="E43" i="6"/>
  <c r="D43" i="6"/>
  <c r="C43" i="6"/>
  <c r="B43" i="6"/>
  <c r="AY42" i="6"/>
  <c r="AX42" i="6"/>
  <c r="AW42" i="6"/>
  <c r="AV42" i="6"/>
  <c r="AU42" i="6"/>
  <c r="AT42" i="6"/>
  <c r="AS42" i="6"/>
  <c r="AR42" i="6"/>
  <c r="AQ42" i="6"/>
  <c r="AP42" i="6"/>
  <c r="AO42" i="6"/>
  <c r="AN42" i="6"/>
  <c r="AM42" i="6"/>
  <c r="AL42" i="6"/>
  <c r="AK42" i="6"/>
  <c r="H42" i="6"/>
  <c r="G42" i="6"/>
  <c r="K6" i="8" s="1"/>
  <c r="F42" i="6"/>
  <c r="E42" i="6"/>
  <c r="D42" i="6"/>
  <c r="C42" i="6"/>
  <c r="B42" i="6"/>
  <c r="AY41" i="6"/>
  <c r="AX41" i="6"/>
  <c r="AW41" i="6"/>
  <c r="AV41" i="6"/>
  <c r="AU41" i="6"/>
  <c r="AT41" i="6"/>
  <c r="AS41" i="6"/>
  <c r="AR41" i="6"/>
  <c r="AQ41" i="6"/>
  <c r="AP41" i="6"/>
  <c r="AO41" i="6"/>
  <c r="AN41" i="6"/>
  <c r="AM41" i="6"/>
  <c r="AL41" i="6"/>
  <c r="AK41" i="6"/>
  <c r="H41" i="6"/>
  <c r="G41" i="6"/>
  <c r="E6" i="8" s="1"/>
  <c r="F41" i="6"/>
  <c r="E41" i="6"/>
  <c r="D41" i="6"/>
  <c r="C41" i="6"/>
  <c r="B41" i="6"/>
  <c r="AD35" i="6"/>
  <c r="AC35" i="6"/>
  <c r="AB35" i="6"/>
  <c r="AA35" i="6"/>
  <c r="U35" i="6"/>
  <c r="T35" i="6"/>
  <c r="S35" i="6"/>
  <c r="R35" i="6"/>
  <c r="K35" i="6"/>
  <c r="J35" i="6"/>
  <c r="I35" i="6"/>
  <c r="AD34" i="6"/>
  <c r="AC34" i="6"/>
  <c r="AB34" i="6"/>
  <c r="AA34" i="6"/>
  <c r="U34" i="6"/>
  <c r="T34" i="6"/>
  <c r="S34" i="6"/>
  <c r="R34" i="6"/>
  <c r="K34" i="6"/>
  <c r="J34" i="6"/>
  <c r="I34" i="6"/>
  <c r="AU33" i="6"/>
  <c r="AT33" i="6"/>
  <c r="AS33" i="6"/>
  <c r="AR33" i="6"/>
  <c r="AQ33" i="6"/>
  <c r="AP33" i="6"/>
  <c r="AO33" i="6"/>
  <c r="AN33" i="6"/>
  <c r="AM33" i="6"/>
  <c r="AL33" i="6"/>
  <c r="AK33" i="6"/>
  <c r="AD31" i="6"/>
  <c r="AC31" i="6"/>
  <c r="AB31" i="6"/>
  <c r="AA31" i="6"/>
  <c r="U31" i="6"/>
  <c r="T31" i="6"/>
  <c r="S31" i="6"/>
  <c r="R31" i="6"/>
  <c r="K31" i="6"/>
  <c r="J31" i="6"/>
  <c r="I31" i="6"/>
  <c r="AD30" i="6"/>
  <c r="AC30" i="6"/>
  <c r="AB30" i="6"/>
  <c r="AA30" i="6"/>
  <c r="U30" i="6"/>
  <c r="T30" i="6"/>
  <c r="S30" i="6"/>
  <c r="R30" i="6"/>
  <c r="K30" i="6"/>
  <c r="J30" i="6"/>
  <c r="I30" i="6"/>
  <c r="AD29" i="6"/>
  <c r="AC29" i="6"/>
  <c r="AB29" i="6"/>
  <c r="AA29" i="6"/>
  <c r="U29" i="6"/>
  <c r="T29" i="6"/>
  <c r="S29" i="6"/>
  <c r="R29" i="6"/>
  <c r="K29" i="6"/>
  <c r="J29" i="6"/>
  <c r="I29" i="6"/>
  <c r="AU28" i="6"/>
  <c r="AT28" i="6"/>
  <c r="AS28" i="6"/>
  <c r="AR28" i="6"/>
  <c r="AQ28" i="6"/>
  <c r="AP28" i="6"/>
  <c r="AO28" i="6"/>
  <c r="AN28" i="6"/>
  <c r="AM28" i="6"/>
  <c r="AL28" i="6"/>
  <c r="AK28" i="6"/>
  <c r="AD26" i="6"/>
  <c r="AC26" i="6"/>
  <c r="AB26" i="6"/>
  <c r="AA26" i="6"/>
  <c r="U26" i="6"/>
  <c r="T26" i="6"/>
  <c r="S26" i="6"/>
  <c r="R26" i="6"/>
  <c r="K26" i="6"/>
  <c r="J26" i="6"/>
  <c r="I26" i="6"/>
  <c r="AD25" i="6"/>
  <c r="AC25" i="6"/>
  <c r="AB25" i="6"/>
  <c r="AA25" i="6"/>
  <c r="U25" i="6"/>
  <c r="T25" i="6"/>
  <c r="S25" i="6"/>
  <c r="R25" i="6"/>
  <c r="K25" i="6"/>
  <c r="J25" i="6"/>
  <c r="I25" i="6"/>
  <c r="AD24" i="6"/>
  <c r="AC24" i="6"/>
  <c r="AB24" i="6"/>
  <c r="AA24" i="6"/>
  <c r="U24" i="6"/>
  <c r="T24" i="6"/>
  <c r="S24" i="6"/>
  <c r="R24" i="6"/>
  <c r="K24" i="6"/>
  <c r="J24" i="6"/>
  <c r="I24" i="6"/>
  <c r="AV23" i="6"/>
  <c r="AU23" i="6"/>
  <c r="AT23" i="6"/>
  <c r="AS23" i="6"/>
  <c r="AR23" i="6"/>
  <c r="AQ23" i="6"/>
  <c r="AP23" i="6"/>
  <c r="AO23" i="6"/>
  <c r="AN23" i="6"/>
  <c r="AM23" i="6"/>
  <c r="AL23" i="6"/>
  <c r="AK23" i="6"/>
  <c r="AD16" i="6"/>
  <c r="AC16" i="6"/>
  <c r="AB16" i="6"/>
  <c r="AA16" i="6"/>
  <c r="U16" i="6"/>
  <c r="T16" i="6"/>
  <c r="S16" i="6"/>
  <c r="R16" i="6"/>
  <c r="K16" i="6"/>
  <c r="J16" i="6"/>
  <c r="I16" i="6"/>
  <c r="AD15" i="6"/>
  <c r="AC15" i="6"/>
  <c r="AB15" i="6"/>
  <c r="AA15" i="6"/>
  <c r="U15" i="6"/>
  <c r="T15" i="6"/>
  <c r="S15" i="6"/>
  <c r="R15" i="6"/>
  <c r="K15" i="6"/>
  <c r="J15" i="6"/>
  <c r="I15" i="6"/>
  <c r="AD12" i="6"/>
  <c r="AC12" i="6"/>
  <c r="AB12" i="6"/>
  <c r="AA12" i="6"/>
  <c r="U12" i="6"/>
  <c r="T12" i="6"/>
  <c r="S12" i="6"/>
  <c r="R12" i="6"/>
  <c r="K12" i="6"/>
  <c r="J12" i="6"/>
  <c r="I12" i="6"/>
  <c r="AD11" i="6"/>
  <c r="AC11" i="6"/>
  <c r="AB11" i="6"/>
  <c r="AA11" i="6"/>
  <c r="U11" i="6"/>
  <c r="T11" i="6"/>
  <c r="S11" i="6"/>
  <c r="R11" i="6"/>
  <c r="K11" i="6"/>
  <c r="J11" i="6"/>
  <c r="I11" i="6"/>
  <c r="AD10" i="6"/>
  <c r="AC10" i="6"/>
  <c r="AB10" i="6"/>
  <c r="AA10" i="6"/>
  <c r="U10" i="6"/>
  <c r="T10" i="6"/>
  <c r="S10" i="6"/>
  <c r="R10" i="6"/>
  <c r="K10" i="6"/>
  <c r="J10" i="6"/>
  <c r="I10" i="6"/>
  <c r="AU9" i="6"/>
  <c r="AT9" i="6"/>
  <c r="AS9" i="6"/>
  <c r="AR9" i="6"/>
  <c r="AQ9" i="6"/>
  <c r="AP9" i="6"/>
  <c r="AO9" i="6"/>
  <c r="AN9" i="6"/>
  <c r="AM9" i="6"/>
  <c r="AL9" i="6"/>
  <c r="AK9" i="6"/>
  <c r="AD7" i="6"/>
  <c r="AC7" i="6"/>
  <c r="AB7" i="6"/>
  <c r="AA7" i="6"/>
  <c r="U7" i="6"/>
  <c r="T7" i="6"/>
  <c r="S7" i="6"/>
  <c r="R7" i="6"/>
  <c r="K7" i="6"/>
  <c r="J7" i="6"/>
  <c r="I7" i="6"/>
  <c r="AD6" i="6"/>
  <c r="AC6" i="6"/>
  <c r="AB6" i="6"/>
  <c r="AA6" i="6"/>
  <c r="U6" i="6"/>
  <c r="T6" i="6"/>
  <c r="S6" i="6"/>
  <c r="R6" i="6"/>
  <c r="K6" i="6"/>
  <c r="J6" i="6"/>
  <c r="I6" i="6"/>
  <c r="AD5" i="6"/>
  <c r="AC5" i="6"/>
  <c r="AB5" i="6"/>
  <c r="AA5" i="6"/>
  <c r="U5" i="6"/>
  <c r="T5" i="6"/>
  <c r="S5" i="6"/>
  <c r="R5" i="6"/>
  <c r="K5" i="6"/>
  <c r="J5" i="6"/>
  <c r="I5" i="6"/>
  <c r="T28" i="4"/>
  <c r="AY84" i="6" s="1"/>
  <c r="S28" i="4"/>
  <c r="AX84" i="6" s="1"/>
  <c r="R28" i="4"/>
  <c r="AW84" i="6" s="1"/>
  <c r="P28" i="4"/>
  <c r="AV84" i="6" s="1"/>
  <c r="O28" i="4"/>
  <c r="AU84" i="6" s="1"/>
  <c r="N28" i="4"/>
  <c r="AT84" i="6" s="1"/>
  <c r="M28" i="4"/>
  <c r="AS84" i="6" s="1"/>
  <c r="K28" i="4"/>
  <c r="AR84" i="6" s="1"/>
  <c r="J28" i="4"/>
  <c r="AQ84" i="6" s="1"/>
  <c r="I28" i="4"/>
  <c r="AP84" i="6" s="1"/>
  <c r="H28" i="4"/>
  <c r="AO84" i="6" s="1"/>
  <c r="F28" i="4"/>
  <c r="AN84" i="6" s="1"/>
  <c r="E28" i="4"/>
  <c r="AM84" i="6" s="1"/>
  <c r="D28" i="4"/>
  <c r="AL84" i="6" s="1"/>
  <c r="C28" i="4"/>
  <c r="AK84" i="6" s="1"/>
  <c r="T27" i="4"/>
  <c r="S27" i="4"/>
  <c r="R27" i="4"/>
  <c r="P27" i="4"/>
  <c r="O27" i="4"/>
  <c r="N27" i="4"/>
  <c r="M27" i="4"/>
  <c r="K27" i="4"/>
  <c r="J27" i="4"/>
  <c r="I27" i="4"/>
  <c r="H27" i="4"/>
  <c r="F27" i="4"/>
  <c r="E27" i="4"/>
  <c r="D27" i="4"/>
  <c r="C27" i="4"/>
  <c r="T26" i="4"/>
  <c r="AY81" i="6" s="1"/>
  <c r="S26" i="4"/>
  <c r="AX81" i="6" s="1"/>
  <c r="R26" i="4"/>
  <c r="AW81" i="6" s="1"/>
  <c r="P26" i="4"/>
  <c r="AV81" i="6" s="1"/>
  <c r="O26" i="4"/>
  <c r="AU81" i="6" s="1"/>
  <c r="N26" i="4"/>
  <c r="AT81" i="6" s="1"/>
  <c r="M26" i="4"/>
  <c r="AS81" i="6" s="1"/>
  <c r="K26" i="4"/>
  <c r="AR81" i="6" s="1"/>
  <c r="J26" i="4"/>
  <c r="AQ81" i="6" s="1"/>
  <c r="I26" i="4"/>
  <c r="AP81" i="6" s="1"/>
  <c r="H26" i="4"/>
  <c r="AO81" i="6" s="1"/>
  <c r="F26" i="4"/>
  <c r="AN81" i="6" s="1"/>
  <c r="E26" i="4"/>
  <c r="AM81" i="6" s="1"/>
  <c r="D26" i="4"/>
  <c r="AL81" i="6" s="1"/>
  <c r="C26" i="4"/>
  <c r="AK81" i="6" s="1"/>
  <c r="T24" i="4"/>
  <c r="S24" i="4"/>
  <c r="R24" i="4"/>
  <c r="P24" i="4"/>
  <c r="O24" i="4"/>
  <c r="N24" i="4"/>
  <c r="M24" i="4"/>
  <c r="K24" i="4"/>
  <c r="J24" i="4"/>
  <c r="I24" i="4"/>
  <c r="H24" i="4"/>
  <c r="F24" i="4"/>
  <c r="E24" i="4"/>
  <c r="D24" i="4"/>
  <c r="C24" i="4"/>
  <c r="T22" i="4"/>
  <c r="AY92" i="6" s="1"/>
  <c r="S22" i="4"/>
  <c r="AX92" i="6" s="1"/>
  <c r="R22" i="4"/>
  <c r="AW92" i="6" s="1"/>
  <c r="P22" i="4"/>
  <c r="AV92" i="6" s="1"/>
  <c r="O22" i="4"/>
  <c r="AU92" i="6" s="1"/>
  <c r="N22" i="4"/>
  <c r="AT92" i="6" s="1"/>
  <c r="M22" i="4"/>
  <c r="AS92" i="6" s="1"/>
  <c r="K22" i="4"/>
  <c r="AR92" i="6" s="1"/>
  <c r="J22" i="4"/>
  <c r="AQ92" i="6" s="1"/>
  <c r="I22" i="4"/>
  <c r="AP92" i="6" s="1"/>
  <c r="H22" i="4"/>
  <c r="AO92" i="6" s="1"/>
  <c r="F22" i="4"/>
  <c r="AN92" i="6" s="1"/>
  <c r="E22" i="4"/>
  <c r="AM92" i="6" s="1"/>
  <c r="D22" i="4"/>
  <c r="AL92" i="6" s="1"/>
  <c r="C22" i="4"/>
  <c r="AK92" i="6" s="1"/>
  <c r="T21" i="4"/>
  <c r="S21" i="4"/>
  <c r="R21" i="4"/>
  <c r="P21" i="4"/>
  <c r="O21" i="4"/>
  <c r="N21" i="4"/>
  <c r="M21" i="4"/>
  <c r="K21" i="4"/>
  <c r="J21" i="4"/>
  <c r="I21" i="4"/>
  <c r="H21" i="4"/>
  <c r="F21" i="4"/>
  <c r="E21" i="4"/>
  <c r="D21" i="4"/>
  <c r="C21" i="4"/>
  <c r="T20" i="4"/>
  <c r="S20" i="4"/>
  <c r="R20" i="4"/>
  <c r="P20" i="4"/>
  <c r="O20" i="4"/>
  <c r="N20" i="4"/>
  <c r="M20" i="4"/>
  <c r="K20" i="4"/>
  <c r="J20" i="4"/>
  <c r="I20" i="4"/>
  <c r="H20" i="4"/>
  <c r="F20" i="4"/>
  <c r="E20" i="4"/>
  <c r="D20" i="4"/>
  <c r="C20" i="4"/>
  <c r="T19" i="4"/>
  <c r="AY90" i="6" s="1"/>
  <c r="S19" i="4"/>
  <c r="AX90" i="6" s="1"/>
  <c r="R19" i="4"/>
  <c r="AW90" i="6" s="1"/>
  <c r="P19" i="4"/>
  <c r="AV90" i="6" s="1"/>
  <c r="O19" i="4"/>
  <c r="AU90" i="6" s="1"/>
  <c r="N19" i="4"/>
  <c r="AT90" i="6" s="1"/>
  <c r="M19" i="4"/>
  <c r="AS90" i="6" s="1"/>
  <c r="K19" i="4"/>
  <c r="AR90" i="6" s="1"/>
  <c r="J19" i="4"/>
  <c r="AQ90" i="6" s="1"/>
  <c r="I19" i="4"/>
  <c r="AP90" i="6" s="1"/>
  <c r="H19" i="4"/>
  <c r="AO90" i="6" s="1"/>
  <c r="F19" i="4"/>
  <c r="AN90" i="6" s="1"/>
  <c r="E19" i="4"/>
  <c r="AM90" i="6" s="1"/>
  <c r="D19" i="4"/>
  <c r="AL90" i="6" s="1"/>
  <c r="C19" i="4"/>
  <c r="AK90" i="6" s="1"/>
  <c r="T18" i="4"/>
  <c r="S18" i="4"/>
  <c r="R18" i="4"/>
  <c r="P18" i="4"/>
  <c r="O18" i="4"/>
  <c r="N18" i="4"/>
  <c r="M18" i="4"/>
  <c r="K18" i="4"/>
  <c r="J18" i="4"/>
  <c r="I18" i="4"/>
  <c r="H18" i="4"/>
  <c r="F18" i="4"/>
  <c r="E18" i="4"/>
  <c r="D18" i="4"/>
  <c r="C18" i="4"/>
  <c r="T17" i="4"/>
  <c r="AY79" i="6" s="1"/>
  <c r="S17" i="4"/>
  <c r="AX79" i="6" s="1"/>
  <c r="R17" i="4"/>
  <c r="AW79" i="6" s="1"/>
  <c r="P17" i="4"/>
  <c r="AV79" i="6" s="1"/>
  <c r="O17" i="4"/>
  <c r="AU79" i="6" s="1"/>
  <c r="N17" i="4"/>
  <c r="AT79" i="6" s="1"/>
  <c r="M17" i="4"/>
  <c r="AS79" i="6" s="1"/>
  <c r="K17" i="4"/>
  <c r="AR79" i="6" s="1"/>
  <c r="J17" i="4"/>
  <c r="AQ79" i="6" s="1"/>
  <c r="I17" i="4"/>
  <c r="AP79" i="6" s="1"/>
  <c r="H17" i="4"/>
  <c r="AO79" i="6" s="1"/>
  <c r="F17" i="4"/>
  <c r="AN79" i="6" s="1"/>
  <c r="E17" i="4"/>
  <c r="AM79" i="6" s="1"/>
  <c r="D17" i="4"/>
  <c r="AL79" i="6" s="1"/>
  <c r="C17" i="4"/>
  <c r="AK79" i="6" s="1"/>
  <c r="T16" i="4"/>
  <c r="AY78" i="6" s="1"/>
  <c r="S16" i="4"/>
  <c r="AX78" i="6" s="1"/>
  <c r="R16" i="4"/>
  <c r="AW78" i="6" s="1"/>
  <c r="P16" i="4"/>
  <c r="AV78" i="6" s="1"/>
  <c r="O16" i="4"/>
  <c r="AU78" i="6" s="1"/>
  <c r="N16" i="4"/>
  <c r="AT78" i="6" s="1"/>
  <c r="M16" i="4"/>
  <c r="AS78" i="6" s="1"/>
  <c r="K16" i="4"/>
  <c r="AR78" i="6" s="1"/>
  <c r="J16" i="4"/>
  <c r="AQ78" i="6" s="1"/>
  <c r="I16" i="4"/>
  <c r="AP78" i="6" s="1"/>
  <c r="H16" i="4"/>
  <c r="AO78" i="6" s="1"/>
  <c r="F16" i="4"/>
  <c r="AN78" i="6" s="1"/>
  <c r="E16" i="4"/>
  <c r="AM78" i="6" s="1"/>
  <c r="D16" i="4"/>
  <c r="AL78" i="6" s="1"/>
  <c r="C16" i="4"/>
  <c r="AK78" i="6" s="1"/>
  <c r="T15" i="4"/>
  <c r="S15" i="4"/>
  <c r="R15" i="4"/>
  <c r="P15" i="4"/>
  <c r="O15" i="4"/>
  <c r="N15" i="4"/>
  <c r="M15" i="4"/>
  <c r="K15" i="4"/>
  <c r="J15" i="4"/>
  <c r="I15" i="4"/>
  <c r="H15" i="4"/>
  <c r="F15" i="4"/>
  <c r="E15" i="4"/>
  <c r="D15" i="4"/>
  <c r="C15" i="4"/>
  <c r="T14" i="4"/>
  <c r="S14" i="4"/>
  <c r="R14" i="4"/>
  <c r="P14" i="4"/>
  <c r="O14" i="4"/>
  <c r="N14" i="4"/>
  <c r="M14" i="4"/>
  <c r="K14" i="4"/>
  <c r="J14" i="4"/>
  <c r="I14" i="4"/>
  <c r="H14" i="4"/>
  <c r="F14" i="4"/>
  <c r="E14" i="4"/>
  <c r="D14" i="4"/>
  <c r="C14" i="4"/>
  <c r="T13" i="4"/>
  <c r="S13" i="4"/>
  <c r="R13" i="4"/>
  <c r="P13" i="4"/>
  <c r="O13" i="4"/>
  <c r="N13" i="4"/>
  <c r="M13" i="4"/>
  <c r="K13" i="4"/>
  <c r="J13" i="4"/>
  <c r="I13" i="4"/>
  <c r="H13" i="4"/>
  <c r="F13" i="4"/>
  <c r="E13" i="4"/>
  <c r="D13" i="4"/>
  <c r="C13" i="4"/>
  <c r="T12" i="4"/>
  <c r="S12" i="4"/>
  <c r="R12" i="4"/>
  <c r="P12" i="4"/>
  <c r="O12" i="4"/>
  <c r="N12" i="4"/>
  <c r="M12" i="4"/>
  <c r="K12" i="4"/>
  <c r="J12" i="4"/>
  <c r="I12" i="4"/>
  <c r="H12" i="4"/>
  <c r="F12" i="4"/>
  <c r="E12" i="4"/>
  <c r="D12" i="4"/>
  <c r="C12" i="4"/>
  <c r="T11" i="4"/>
  <c r="S11" i="4"/>
  <c r="R11" i="4"/>
  <c r="P11" i="4"/>
  <c r="O11" i="4"/>
  <c r="N11" i="4"/>
  <c r="M11" i="4"/>
  <c r="K11" i="4"/>
  <c r="J11" i="4"/>
  <c r="I11" i="4"/>
  <c r="H11" i="4"/>
  <c r="F11" i="4"/>
  <c r="E11" i="4"/>
  <c r="D11" i="4"/>
  <c r="C11" i="4"/>
  <c r="T10" i="4"/>
  <c r="AY74" i="6" s="1"/>
  <c r="S10" i="4"/>
  <c r="AX74" i="6" s="1"/>
  <c r="R10" i="4"/>
  <c r="AW74" i="6" s="1"/>
  <c r="P10" i="4"/>
  <c r="AV74" i="6" s="1"/>
  <c r="O10" i="4"/>
  <c r="AU74" i="6" s="1"/>
  <c r="N10" i="4"/>
  <c r="AT74" i="6" s="1"/>
  <c r="M10" i="4"/>
  <c r="AS74" i="6" s="1"/>
  <c r="K10" i="4"/>
  <c r="AR74" i="6" s="1"/>
  <c r="J10" i="4"/>
  <c r="AQ74" i="6" s="1"/>
  <c r="I10" i="4"/>
  <c r="AP74" i="6" s="1"/>
  <c r="H10" i="4"/>
  <c r="AO74" i="6" s="1"/>
  <c r="F10" i="4"/>
  <c r="AN74" i="6" s="1"/>
  <c r="E10" i="4"/>
  <c r="AM74" i="6" s="1"/>
  <c r="D10" i="4"/>
  <c r="AL74" i="6" s="1"/>
  <c r="C10" i="4"/>
  <c r="AK74" i="6" s="1"/>
  <c r="T9" i="4"/>
  <c r="AY56" i="6" s="1"/>
  <c r="S9" i="4"/>
  <c r="AX56" i="6" s="1"/>
  <c r="R9" i="4"/>
  <c r="AW56" i="6" s="1"/>
  <c r="P9" i="4"/>
  <c r="AV56" i="6" s="1"/>
  <c r="O9" i="4"/>
  <c r="AU56" i="6" s="1"/>
  <c r="N9" i="4"/>
  <c r="AT56" i="6" s="1"/>
  <c r="M9" i="4"/>
  <c r="AS56" i="6" s="1"/>
  <c r="K9" i="4"/>
  <c r="AR56" i="6" s="1"/>
  <c r="J9" i="4"/>
  <c r="AQ56" i="6" s="1"/>
  <c r="I9" i="4"/>
  <c r="AP56" i="6" s="1"/>
  <c r="H9" i="4"/>
  <c r="AO56" i="6" s="1"/>
  <c r="F9" i="4"/>
  <c r="AN56" i="6" s="1"/>
  <c r="E9" i="4"/>
  <c r="AM56" i="6" s="1"/>
  <c r="D9" i="4"/>
  <c r="AL56" i="6" s="1"/>
  <c r="C9" i="4"/>
  <c r="AK56" i="6" s="1"/>
  <c r="T8" i="4"/>
  <c r="S8" i="4"/>
  <c r="R8" i="4"/>
  <c r="P8" i="4"/>
  <c r="O8" i="4"/>
  <c r="N8" i="4"/>
  <c r="M8" i="4"/>
  <c r="K8" i="4"/>
  <c r="J8" i="4"/>
  <c r="I8" i="4"/>
  <c r="H8" i="4"/>
  <c r="F8" i="4"/>
  <c r="E8" i="4"/>
  <c r="D8" i="4"/>
  <c r="C8" i="4"/>
  <c r="T7" i="4"/>
  <c r="S7" i="4"/>
  <c r="R7" i="4"/>
  <c r="P7" i="4"/>
  <c r="O7" i="4"/>
  <c r="N7" i="4"/>
  <c r="M7" i="4"/>
  <c r="K7" i="4"/>
  <c r="J7" i="4"/>
  <c r="I7" i="4"/>
  <c r="H7" i="4"/>
  <c r="F7" i="4"/>
  <c r="E7" i="4"/>
  <c r="D7" i="4"/>
  <c r="C7" i="4"/>
  <c r="T4" i="4"/>
  <c r="S4" i="4"/>
  <c r="R4" i="4"/>
  <c r="Q4" i="4"/>
  <c r="P4" i="4"/>
  <c r="O4" i="4"/>
  <c r="N4" i="4"/>
  <c r="M4" i="4"/>
  <c r="L4" i="4"/>
  <c r="K4" i="4"/>
  <c r="J4" i="4"/>
  <c r="I4" i="4"/>
  <c r="H4" i="4"/>
  <c r="G4" i="4"/>
  <c r="F4" i="4"/>
  <c r="E4" i="4"/>
  <c r="D4" i="4"/>
  <c r="C4" i="4"/>
  <c r="AB4" i="3"/>
  <c r="AA4" i="3"/>
  <c r="Z4" i="3"/>
  <c r="Y4" i="3"/>
  <c r="X4" i="3"/>
  <c r="W4" i="3"/>
  <c r="V4" i="3"/>
  <c r="U4" i="3"/>
  <c r="T4" i="3"/>
  <c r="S4" i="3"/>
  <c r="R4" i="3"/>
  <c r="Q4" i="3"/>
  <c r="P4" i="3"/>
  <c r="O4" i="3"/>
  <c r="N4" i="3"/>
  <c r="M4" i="3"/>
  <c r="L4" i="3"/>
  <c r="K4" i="3"/>
  <c r="I45" i="2"/>
  <c r="H45" i="2"/>
  <c r="G45" i="2"/>
  <c r="F45" i="2"/>
  <c r="E45" i="2"/>
  <c r="D45" i="2"/>
  <c r="C45" i="2"/>
  <c r="I40" i="1"/>
  <c r="H40" i="1"/>
  <c r="G40" i="1"/>
  <c r="F40" i="1"/>
  <c r="E40" i="1"/>
  <c r="D40" i="1"/>
  <c r="C40" i="1"/>
  <c r="I15" i="1"/>
  <c r="H15" i="1"/>
  <c r="G15" i="1"/>
  <c r="F15" i="1"/>
  <c r="E15" i="1"/>
  <c r="D15" i="1"/>
  <c r="C15" i="1"/>
  <c r="M114" i="6" l="1"/>
  <c r="AE85" i="6"/>
  <c r="M85" i="6"/>
  <c r="C68" i="6"/>
  <c r="H68" i="6"/>
  <c r="D68" i="6"/>
  <c r="G68" i="6"/>
  <c r="I7" i="7"/>
  <c r="G70" i="6"/>
  <c r="I9" i="7"/>
  <c r="AV114" i="6"/>
  <c r="F68" i="6"/>
  <c r="BB106" i="6"/>
  <c r="AV111" i="6"/>
  <c r="K111" i="6" s="1"/>
  <c r="AP111" i="6"/>
  <c r="R107" i="6"/>
  <c r="E68" i="6"/>
  <c r="E70" i="6"/>
  <c r="E69" i="6"/>
  <c r="AQ95" i="6"/>
  <c r="AQ115" i="6" s="1"/>
  <c r="S115" i="6" s="1"/>
  <c r="AX95" i="6"/>
  <c r="AX115" i="6" s="1"/>
  <c r="AD115" i="6" s="1"/>
  <c r="AO95" i="6"/>
  <c r="AO115" i="6" s="1"/>
  <c r="J102" i="6"/>
  <c r="D95" i="6"/>
  <c r="AR95" i="6"/>
  <c r="AR115" i="6" s="1"/>
  <c r="J115" i="6" s="1"/>
  <c r="AC102" i="6"/>
  <c r="E95" i="6"/>
  <c r="T102" i="6"/>
  <c r="L102" i="6"/>
  <c r="F95" i="6"/>
  <c r="F115" i="6" s="1"/>
  <c r="U102" i="6"/>
  <c r="G95" i="6"/>
  <c r="H95" i="6"/>
  <c r="H115" i="6" s="1"/>
  <c r="AA102" i="6"/>
  <c r="AW95" i="6"/>
  <c r="AW115" i="6" s="1"/>
  <c r="R102" i="6"/>
  <c r="I102" i="6"/>
  <c r="B95" i="6"/>
  <c r="AL101" i="6"/>
  <c r="AL100" i="6" s="1"/>
  <c r="AL95" i="6"/>
  <c r="AL115" i="6" s="1"/>
  <c r="AT101" i="6"/>
  <c r="AT100" i="6" s="1"/>
  <c r="AT95" i="6"/>
  <c r="AT115" i="6" s="1"/>
  <c r="AC115" i="6" s="1"/>
  <c r="C95" i="6"/>
  <c r="C115" i="6" s="1"/>
  <c r="R96" i="6"/>
  <c r="AM95" i="6"/>
  <c r="AM115" i="6" s="1"/>
  <c r="AU101" i="6"/>
  <c r="T101" i="6" s="1"/>
  <c r="AU95" i="6"/>
  <c r="AU115" i="6" s="1"/>
  <c r="T115" i="6" s="1"/>
  <c r="AN101" i="6"/>
  <c r="I101" i="6" s="1"/>
  <c r="AN95" i="6"/>
  <c r="AN115" i="6" s="1"/>
  <c r="I115" i="6" s="1"/>
  <c r="K96" i="6"/>
  <c r="K95" i="6" s="1"/>
  <c r="AV95" i="6"/>
  <c r="AV115" i="6" s="1"/>
  <c r="K115" i="6" s="1"/>
  <c r="AK95" i="6"/>
  <c r="AK115" i="6" s="1"/>
  <c r="AS95" i="6"/>
  <c r="AS115" i="6" s="1"/>
  <c r="AP101" i="6"/>
  <c r="AB101" i="6" s="1"/>
  <c r="AP95" i="6"/>
  <c r="AP115" i="6" s="1"/>
  <c r="AB115" i="6" s="1"/>
  <c r="AZ101" i="6"/>
  <c r="L101" i="6" s="1"/>
  <c r="AZ95" i="6"/>
  <c r="AZ115" i="6" s="1"/>
  <c r="L115" i="6" s="1"/>
  <c r="AE77" i="6"/>
  <c r="V77" i="6"/>
  <c r="B69" i="6"/>
  <c r="M106" i="6"/>
  <c r="M110" i="6" s="1"/>
  <c r="M93" i="6"/>
  <c r="AK114" i="6"/>
  <c r="AS114" i="6"/>
  <c r="BC110" i="6"/>
  <c r="BC106" i="6"/>
  <c r="AZ114" i="6"/>
  <c r="V114" i="6" s="1"/>
  <c r="BB110" i="6"/>
  <c r="AZ77" i="6"/>
  <c r="L78" i="6"/>
  <c r="H70" i="6"/>
  <c r="L23" i="6"/>
  <c r="L28" i="6"/>
  <c r="L33" i="6"/>
  <c r="BA106" i="6"/>
  <c r="BA105" i="6" s="1"/>
  <c r="BA110" i="6"/>
  <c r="BA109" i="6" s="1"/>
  <c r="AB56" i="6"/>
  <c r="L81" i="6"/>
  <c r="AO114" i="6"/>
  <c r="AW114" i="6"/>
  <c r="L92" i="6"/>
  <c r="L79" i="6"/>
  <c r="L74" i="6"/>
  <c r="L56" i="6"/>
  <c r="L90" i="6"/>
  <c r="L84" i="6"/>
  <c r="L87" i="6" s="1"/>
  <c r="L96" i="6"/>
  <c r="L95" i="6" s="1"/>
  <c r="F69" i="6"/>
  <c r="B45" i="6"/>
  <c r="AZ110" i="6"/>
  <c r="K56" i="6"/>
  <c r="F45" i="6"/>
  <c r="B20" i="6"/>
  <c r="B88" i="6" s="1"/>
  <c r="F20" i="6"/>
  <c r="F72" i="6" s="1"/>
  <c r="AZ70" i="6"/>
  <c r="AZ45" i="6"/>
  <c r="AZ106" i="6"/>
  <c r="AZ105" i="6" s="1"/>
  <c r="L105" i="6" s="1"/>
  <c r="AZ20" i="6"/>
  <c r="AZ72" i="6" s="1"/>
  <c r="G69" i="6"/>
  <c r="C69" i="6"/>
  <c r="AM45" i="6"/>
  <c r="AU45" i="6"/>
  <c r="B68" i="6"/>
  <c r="AO45" i="6"/>
  <c r="AW45" i="6"/>
  <c r="AA23" i="6"/>
  <c r="H20" i="6"/>
  <c r="H82" i="6" s="1"/>
  <c r="AO59" i="6"/>
  <c r="F70" i="6"/>
  <c r="G59" i="6"/>
  <c r="G64" i="6" s="1"/>
  <c r="AD56" i="6"/>
  <c r="U56" i="6"/>
  <c r="AC56" i="6"/>
  <c r="J56" i="6"/>
  <c r="S56" i="6"/>
  <c r="R56" i="6"/>
  <c r="T56" i="6"/>
  <c r="AA56" i="6"/>
  <c r="I56" i="6"/>
  <c r="G20" i="6"/>
  <c r="G88" i="6" s="1"/>
  <c r="D20" i="6"/>
  <c r="D57" i="6" s="1"/>
  <c r="H45" i="6"/>
  <c r="G45" i="6"/>
  <c r="K21" i="8" s="1"/>
  <c r="E20" i="6"/>
  <c r="E72" i="6" s="1"/>
  <c r="E45" i="6"/>
  <c r="D45" i="6"/>
  <c r="C20" i="6"/>
  <c r="C57" i="6" s="1"/>
  <c r="AN45" i="6"/>
  <c r="AV45" i="6"/>
  <c r="AB62" i="6"/>
  <c r="AD62" i="6"/>
  <c r="AP45" i="6"/>
  <c r="AX45" i="6"/>
  <c r="AQ45" i="6"/>
  <c r="AY45" i="6"/>
  <c r="AR45" i="6"/>
  <c r="AK45" i="6"/>
  <c r="AS45" i="6"/>
  <c r="AL45" i="6"/>
  <c r="AT45" i="6"/>
  <c r="AA84" i="6"/>
  <c r="AC84" i="6"/>
  <c r="AB107" i="6"/>
  <c r="AD107" i="6"/>
  <c r="U84" i="6"/>
  <c r="AD84" i="6"/>
  <c r="AB23" i="6"/>
  <c r="AD23" i="6"/>
  <c r="AA62" i="6"/>
  <c r="AC62" i="6"/>
  <c r="T84" i="6"/>
  <c r="R84" i="6"/>
  <c r="S84" i="6"/>
  <c r="I84" i="6"/>
  <c r="I87" i="6" s="1"/>
  <c r="J84" i="6"/>
  <c r="J87" i="6" s="1"/>
  <c r="AB84" i="6"/>
  <c r="K84" i="6"/>
  <c r="K87" i="6" s="1"/>
  <c r="AT20" i="6"/>
  <c r="AM20" i="6"/>
  <c r="AU20" i="6"/>
  <c r="I96" i="6"/>
  <c r="AU69" i="6"/>
  <c r="AA33" i="6"/>
  <c r="AM59" i="6"/>
  <c r="B77" i="6"/>
  <c r="J41" i="6"/>
  <c r="AB41" i="6"/>
  <c r="S42" i="6"/>
  <c r="L51" i="6"/>
  <c r="AP20" i="6"/>
  <c r="AX70" i="6"/>
  <c r="AA48" i="6"/>
  <c r="AL20" i="6"/>
  <c r="AL72" i="6" s="1"/>
  <c r="R9" i="6"/>
  <c r="K46" i="6"/>
  <c r="AC46" i="6"/>
  <c r="K48" i="6"/>
  <c r="AC48" i="6"/>
  <c r="T33" i="6"/>
  <c r="I9" i="6"/>
  <c r="J42" i="6"/>
  <c r="L46" i="6"/>
  <c r="AD46" i="6"/>
  <c r="AD28" i="6"/>
  <c r="T42" i="6"/>
  <c r="AQ20" i="6"/>
  <c r="AY20" i="6"/>
  <c r="AY72" i="6" s="1"/>
  <c r="L47" i="6"/>
  <c r="AD47" i="6"/>
  <c r="AU59" i="6"/>
  <c r="C77" i="6"/>
  <c r="I61" i="6"/>
  <c r="I48" i="6"/>
  <c r="AQ59" i="6"/>
  <c r="AY70" i="6"/>
  <c r="AA9" i="6"/>
  <c r="J9" i="6"/>
  <c r="S33" i="6"/>
  <c r="K52" i="6"/>
  <c r="AS70" i="6"/>
  <c r="AC52" i="6"/>
  <c r="R28" i="6"/>
  <c r="U47" i="6"/>
  <c r="G77" i="6"/>
  <c r="AA96" i="6"/>
  <c r="AB42" i="6"/>
  <c r="T51" i="6"/>
  <c r="U23" i="6"/>
  <c r="L42" i="6"/>
  <c r="AD42" i="6"/>
  <c r="I47" i="6"/>
  <c r="R48" i="6"/>
  <c r="J33" i="6"/>
  <c r="AM70" i="6"/>
  <c r="K62" i="6"/>
  <c r="L41" i="6"/>
  <c r="AD41" i="6"/>
  <c r="U42" i="6"/>
  <c r="L43" i="6"/>
  <c r="AD43" i="6"/>
  <c r="R23" i="6"/>
  <c r="K41" i="6"/>
  <c r="AC41" i="6"/>
  <c r="K43" i="6"/>
  <c r="AC43" i="6"/>
  <c r="T46" i="6"/>
  <c r="K47" i="6"/>
  <c r="AC47" i="6"/>
  <c r="T48" i="6"/>
  <c r="AB33" i="6"/>
  <c r="I51" i="6"/>
  <c r="AA51" i="6"/>
  <c r="R52" i="6"/>
  <c r="J61" i="6"/>
  <c r="AW59" i="6"/>
  <c r="S62" i="6"/>
  <c r="U46" i="6"/>
  <c r="R41" i="6"/>
  <c r="I42" i="6"/>
  <c r="AA42" i="6"/>
  <c r="R43" i="6"/>
  <c r="I46" i="6"/>
  <c r="AA46" i="6"/>
  <c r="R47" i="6"/>
  <c r="K51" i="6"/>
  <c r="T52" i="6"/>
  <c r="AD51" i="6"/>
  <c r="T9" i="6"/>
  <c r="S51" i="6"/>
  <c r="J52" i="6"/>
  <c r="AB52" i="6"/>
  <c r="AX20" i="6"/>
  <c r="AX72" i="6" s="1"/>
  <c r="S23" i="6"/>
  <c r="AW20" i="6"/>
  <c r="AW72" i="6" s="1"/>
  <c r="S41" i="6"/>
  <c r="S43" i="6"/>
  <c r="J46" i="6"/>
  <c r="AB46" i="6"/>
  <c r="S47" i="6"/>
  <c r="J48" i="6"/>
  <c r="AB48" i="6"/>
  <c r="U52" i="6"/>
  <c r="U41" i="6"/>
  <c r="U43" i="6"/>
  <c r="T41" i="6"/>
  <c r="K42" i="6"/>
  <c r="AC42" i="6"/>
  <c r="T43" i="6"/>
  <c r="T47" i="6"/>
  <c r="R51" i="6"/>
  <c r="I52" i="6"/>
  <c r="AA52" i="6"/>
  <c r="AD92" i="6"/>
  <c r="L48" i="6"/>
  <c r="AD48" i="6"/>
  <c r="AP59" i="6"/>
  <c r="AX59" i="6"/>
  <c r="I41" i="6"/>
  <c r="AA41" i="6"/>
  <c r="R42" i="6"/>
  <c r="I43" i="6"/>
  <c r="AA43" i="6"/>
  <c r="R46" i="6"/>
  <c r="AA47" i="6"/>
  <c r="S9" i="6"/>
  <c r="U9" i="6"/>
  <c r="J51" i="6"/>
  <c r="AB51" i="6"/>
  <c r="S52" i="6"/>
  <c r="J43" i="6"/>
  <c r="AB43" i="6"/>
  <c r="S46" i="6"/>
  <c r="J47" i="6"/>
  <c r="AB47" i="6"/>
  <c r="S48" i="6"/>
  <c r="U51" i="6"/>
  <c r="L52" i="6"/>
  <c r="AD52" i="6"/>
  <c r="AB96" i="6"/>
  <c r="AB95" i="6" s="1"/>
  <c r="I97" i="6"/>
  <c r="K107" i="6"/>
  <c r="H77" i="6"/>
  <c r="AA97" i="6"/>
  <c r="J97" i="6"/>
  <c r="R97" i="6"/>
  <c r="AR114" i="6"/>
  <c r="AM114" i="6"/>
  <c r="AU114" i="6"/>
  <c r="AL77" i="6"/>
  <c r="AT77" i="6"/>
  <c r="F77" i="6"/>
  <c r="AL114" i="6"/>
  <c r="AT114" i="6"/>
  <c r="AN114" i="6"/>
  <c r="AR77" i="6"/>
  <c r="AC79" i="6"/>
  <c r="AB81" i="6"/>
  <c r="E77" i="6"/>
  <c r="T74" i="6"/>
  <c r="AQ77" i="6"/>
  <c r="AY77" i="6"/>
  <c r="AP114" i="6"/>
  <c r="AX114" i="6"/>
  <c r="AQ114" i="6"/>
  <c r="AY114" i="6"/>
  <c r="R78" i="6"/>
  <c r="AN77" i="6"/>
  <c r="AD96" i="6"/>
  <c r="I107" i="6"/>
  <c r="F101" i="6"/>
  <c r="AV101" i="6"/>
  <c r="K101" i="6" s="1"/>
  <c r="H111" i="6"/>
  <c r="H101" i="6"/>
  <c r="AX101" i="6"/>
  <c r="AD101" i="6" s="1"/>
  <c r="AM101" i="6"/>
  <c r="R101" i="6" s="1"/>
  <c r="AC97" i="6"/>
  <c r="G102" i="6"/>
  <c r="AY115" i="6"/>
  <c r="U115" i="6" s="1"/>
  <c r="E102" i="6"/>
  <c r="F102" i="6"/>
  <c r="AC81" i="6"/>
  <c r="T81" i="6"/>
  <c r="K81" i="6"/>
  <c r="U79" i="6"/>
  <c r="AD79" i="6"/>
  <c r="AB78" i="6"/>
  <c r="J78" i="6"/>
  <c r="AO77" i="6"/>
  <c r="S78" i="6"/>
  <c r="AP110" i="6"/>
  <c r="R110" i="6" s="1"/>
  <c r="AX106" i="6"/>
  <c r="AX110" i="6"/>
  <c r="R90" i="6"/>
  <c r="AA90" i="6"/>
  <c r="I90" i="6"/>
  <c r="AU110" i="6"/>
  <c r="AU106" i="6"/>
  <c r="R79" i="6"/>
  <c r="I79" i="6"/>
  <c r="AA79" i="6"/>
  <c r="AS110" i="6"/>
  <c r="AS106" i="6"/>
  <c r="AS105" i="6" s="1"/>
  <c r="AT106" i="6"/>
  <c r="AT110" i="6"/>
  <c r="I81" i="6"/>
  <c r="R81" i="6"/>
  <c r="AA81" i="6"/>
  <c r="AB90" i="6"/>
  <c r="J90" i="6"/>
  <c r="S90" i="6"/>
  <c r="S74" i="6"/>
  <c r="J74" i="6"/>
  <c r="AB74" i="6"/>
  <c r="AU77" i="6"/>
  <c r="U90" i="6"/>
  <c r="AD90" i="6"/>
  <c r="AV110" i="6"/>
  <c r="AV106" i="6"/>
  <c r="AV105" i="6" s="1"/>
  <c r="K105" i="6" s="1"/>
  <c r="AC92" i="6"/>
  <c r="K92" i="6"/>
  <c r="AO110" i="6"/>
  <c r="AO106" i="6"/>
  <c r="AO105" i="6" s="1"/>
  <c r="AW110" i="6"/>
  <c r="AW106" i="6"/>
  <c r="AW105" i="6" s="1"/>
  <c r="AB9" i="6"/>
  <c r="S28" i="6"/>
  <c r="AK68" i="6"/>
  <c r="AA61" i="6"/>
  <c r="AP69" i="6"/>
  <c r="AX69" i="6"/>
  <c r="AP68" i="6"/>
  <c r="AO69" i="6"/>
  <c r="AK101" i="6"/>
  <c r="AK100" i="6" s="1"/>
  <c r="AS101" i="6"/>
  <c r="AS100" i="6" s="1"/>
  <c r="C102" i="6"/>
  <c r="C101" i="6"/>
  <c r="AO101" i="6"/>
  <c r="AO100" i="6" s="1"/>
  <c r="B111" i="6"/>
  <c r="AC90" i="6"/>
  <c r="T90" i="6"/>
  <c r="AM77" i="6"/>
  <c r="AP106" i="6"/>
  <c r="R106" i="6" s="1"/>
  <c r="K9" i="6"/>
  <c r="AC9" i="6"/>
  <c r="AR20" i="6"/>
  <c r="AR72" i="6" s="1"/>
  <c r="T28" i="6"/>
  <c r="U33" i="6"/>
  <c r="AR59" i="6"/>
  <c r="AL59" i="6"/>
  <c r="AL68" i="6"/>
  <c r="AT59" i="6"/>
  <c r="AT68" i="6"/>
  <c r="AB61" i="6"/>
  <c r="AY69" i="6"/>
  <c r="AO70" i="6"/>
  <c r="AW70" i="6"/>
  <c r="AR68" i="6"/>
  <c r="AQ69" i="6"/>
  <c r="AW102" i="6"/>
  <c r="K74" i="6"/>
  <c r="AC74" i="6"/>
  <c r="AN110" i="6"/>
  <c r="AN106" i="6"/>
  <c r="AN105" i="6" s="1"/>
  <c r="I105" i="6" s="1"/>
  <c r="I92" i="6"/>
  <c r="R92" i="6"/>
  <c r="AQ110" i="6"/>
  <c r="AQ106" i="6"/>
  <c r="S106" i="6" s="1"/>
  <c r="AY106" i="6"/>
  <c r="AY110" i="6"/>
  <c r="L9" i="6"/>
  <c r="AD9" i="6"/>
  <c r="AK20" i="6"/>
  <c r="AS20" i="6"/>
  <c r="AS72" i="6" s="1"/>
  <c r="T23" i="6"/>
  <c r="U28" i="6"/>
  <c r="I33" i="6"/>
  <c r="U48" i="6"/>
  <c r="AS59" i="6"/>
  <c r="AC61" i="6"/>
  <c r="AP70" i="6"/>
  <c r="U62" i="6"/>
  <c r="AV68" i="6"/>
  <c r="AS69" i="6"/>
  <c r="AV77" i="6"/>
  <c r="G106" i="6"/>
  <c r="AP102" i="6"/>
  <c r="AX102" i="6"/>
  <c r="AD97" i="6"/>
  <c r="AC78" i="6"/>
  <c r="AS77" i="6"/>
  <c r="K78" i="6"/>
  <c r="U74" i="6"/>
  <c r="AD74" i="6"/>
  <c r="U78" i="6"/>
  <c r="AW77" i="6"/>
  <c r="S79" i="6"/>
  <c r="AB79" i="6"/>
  <c r="AR110" i="6"/>
  <c r="S92" i="6"/>
  <c r="U92" i="6"/>
  <c r="S81" i="6"/>
  <c r="AD81" i="6"/>
  <c r="I28" i="6"/>
  <c r="AA28" i="6"/>
  <c r="AQ70" i="6"/>
  <c r="AW68" i="6"/>
  <c r="I78" i="6"/>
  <c r="J79" i="6"/>
  <c r="K90" i="6"/>
  <c r="AQ102" i="6"/>
  <c r="S97" i="6"/>
  <c r="U97" i="6"/>
  <c r="AP77" i="6"/>
  <c r="AX77" i="6"/>
  <c r="I23" i="6"/>
  <c r="J28" i="6"/>
  <c r="AB28" i="6"/>
  <c r="K33" i="6"/>
  <c r="AC33" i="6"/>
  <c r="AC51" i="6"/>
  <c r="AK59" i="6"/>
  <c r="AV59" i="6"/>
  <c r="AX68" i="6"/>
  <c r="AR70" i="6"/>
  <c r="K79" i="6"/>
  <c r="J92" i="6"/>
  <c r="AW101" i="6"/>
  <c r="AN20" i="6"/>
  <c r="AV20" i="6"/>
  <c r="AV72" i="6" s="1"/>
  <c r="J23" i="6"/>
  <c r="K28" i="6"/>
  <c r="AC28" i="6"/>
  <c r="AD33" i="6"/>
  <c r="K61" i="6"/>
  <c r="AM69" i="6"/>
  <c r="AK77" i="6"/>
  <c r="T78" i="6"/>
  <c r="J81" i="6"/>
  <c r="B110" i="6"/>
  <c r="T92" i="6"/>
  <c r="AO20" i="6"/>
  <c r="K23" i="6"/>
  <c r="AC23" i="6"/>
  <c r="R33" i="6"/>
  <c r="AN59" i="6"/>
  <c r="AY59" i="6"/>
  <c r="AY68" i="6"/>
  <c r="R61" i="6"/>
  <c r="AV69" i="6"/>
  <c r="J62" i="6"/>
  <c r="AL70" i="6"/>
  <c r="R62" i="6"/>
  <c r="I62" i="6"/>
  <c r="AT70" i="6"/>
  <c r="T62" i="6"/>
  <c r="AN68" i="6"/>
  <c r="AU70" i="6"/>
  <c r="AA78" i="6"/>
  <c r="T79" i="6"/>
  <c r="U81" i="6"/>
  <c r="AA92" i="6"/>
  <c r="AQ101" i="6"/>
  <c r="S96" i="6"/>
  <c r="AY101" i="6"/>
  <c r="AY100" i="6" s="1"/>
  <c r="U96" i="6"/>
  <c r="AA74" i="6"/>
  <c r="I74" i="6"/>
  <c r="T61" i="6"/>
  <c r="S61" i="6"/>
  <c r="AD61" i="6"/>
  <c r="U61" i="6"/>
  <c r="AW69" i="6"/>
  <c r="AO68" i="6"/>
  <c r="AK69" i="6"/>
  <c r="R74" i="6"/>
  <c r="AD78" i="6"/>
  <c r="AB92" i="6"/>
  <c r="G101" i="6"/>
  <c r="AR106" i="6"/>
  <c r="AR105" i="6" s="1"/>
  <c r="J105" i="6" s="1"/>
  <c r="AS68" i="6"/>
  <c r="AL69" i="6"/>
  <c r="C110" i="6"/>
  <c r="C105" i="6"/>
  <c r="D101" i="6"/>
  <c r="E101" i="6"/>
  <c r="AN70" i="6"/>
  <c r="AV70" i="6"/>
  <c r="D106" i="6"/>
  <c r="AR111" i="6"/>
  <c r="J111" i="6" s="1"/>
  <c r="AM68" i="6"/>
  <c r="AU68" i="6"/>
  <c r="AN69" i="6"/>
  <c r="D77" i="6"/>
  <c r="E105" i="6"/>
  <c r="E110" i="6"/>
  <c r="T96" i="6"/>
  <c r="T97" i="6"/>
  <c r="D102" i="6"/>
  <c r="AR69" i="6"/>
  <c r="AQ68" i="6"/>
  <c r="AT69" i="6"/>
  <c r="AK70" i="6"/>
  <c r="AR101" i="6"/>
  <c r="AR100" i="6" s="1"/>
  <c r="J96" i="6"/>
  <c r="B102" i="6"/>
  <c r="B101" i="6"/>
  <c r="F106" i="6"/>
  <c r="H110" i="6"/>
  <c r="H105" i="6"/>
  <c r="H102" i="6"/>
  <c r="AV102" i="6"/>
  <c r="U111" i="6"/>
  <c r="S107" i="6"/>
  <c r="U107" i="6"/>
  <c r="D111" i="6"/>
  <c r="AL111" i="6"/>
  <c r="AT111" i="6"/>
  <c r="AC111" i="6" s="1"/>
  <c r="E111" i="6"/>
  <c r="AM111" i="6"/>
  <c r="AU111" i="6"/>
  <c r="T111" i="6" s="1"/>
  <c r="AW111" i="6"/>
  <c r="B72" i="6" l="1"/>
  <c r="E88" i="6"/>
  <c r="D88" i="6"/>
  <c r="AO75" i="6"/>
  <c r="AO72" i="6"/>
  <c r="AN57" i="6"/>
  <c r="AN72" i="6"/>
  <c r="AQ75" i="6"/>
  <c r="AQ72" i="6"/>
  <c r="H72" i="6"/>
  <c r="C88" i="6"/>
  <c r="AU57" i="6"/>
  <c r="AU72" i="6"/>
  <c r="C72" i="6"/>
  <c r="AM57" i="6"/>
  <c r="AM72" i="6"/>
  <c r="AP82" i="6"/>
  <c r="AP72" i="6"/>
  <c r="AT75" i="6"/>
  <c r="AT72" i="6"/>
  <c r="G72" i="6"/>
  <c r="D72" i="6"/>
  <c r="F88" i="6"/>
  <c r="AK82" i="6"/>
  <c r="AK72" i="6"/>
  <c r="H88" i="6"/>
  <c r="I68" i="6"/>
  <c r="K68" i="6"/>
  <c r="J68" i="6"/>
  <c r="AB68" i="6"/>
  <c r="AD68" i="6"/>
  <c r="S68" i="6"/>
  <c r="AA68" i="6"/>
  <c r="U68" i="6"/>
  <c r="R68" i="6"/>
  <c r="G57" i="6"/>
  <c r="C8" i="7"/>
  <c r="R95" i="6"/>
  <c r="F67" i="6"/>
  <c r="AE114" i="6"/>
  <c r="AC114" i="6"/>
  <c r="AB114" i="6"/>
  <c r="T95" i="6"/>
  <c r="AD95" i="6"/>
  <c r="AD114" i="6"/>
  <c r="U114" i="6"/>
  <c r="S114" i="6"/>
  <c r="T114" i="6"/>
  <c r="K114" i="6"/>
  <c r="AV113" i="6"/>
  <c r="K113" i="6" s="1"/>
  <c r="AB111" i="6"/>
  <c r="R111" i="6"/>
  <c r="S95" i="6"/>
  <c r="J95" i="6"/>
  <c r="AC95" i="6"/>
  <c r="AU100" i="6"/>
  <c r="AM100" i="6"/>
  <c r="R100" i="6"/>
  <c r="AZ100" i="6"/>
  <c r="U95" i="6"/>
  <c r="AC101" i="6"/>
  <c r="AC100" i="6" s="1"/>
  <c r="AN100" i="6"/>
  <c r="L100" i="6"/>
  <c r="F100" i="6"/>
  <c r="E100" i="6"/>
  <c r="AP100" i="6"/>
  <c r="I100" i="6"/>
  <c r="B100" i="6"/>
  <c r="AA101" i="6"/>
  <c r="AA100" i="6" s="1"/>
  <c r="T100" i="6"/>
  <c r="AV100" i="6"/>
  <c r="G100" i="6"/>
  <c r="AA95" i="6"/>
  <c r="H100" i="6"/>
  <c r="AW100" i="6"/>
  <c r="C100" i="6"/>
  <c r="D100" i="6"/>
  <c r="S102" i="6"/>
  <c r="AQ100" i="6"/>
  <c r="AD102" i="6"/>
  <c r="AD100" i="6" s="1"/>
  <c r="AX100" i="6"/>
  <c r="I95" i="6"/>
  <c r="B57" i="6"/>
  <c r="BB113" i="6"/>
  <c r="AE113" i="6" s="1"/>
  <c r="AZ57" i="6"/>
  <c r="BD21" i="6"/>
  <c r="V20" i="6"/>
  <c r="BC105" i="6"/>
  <c r="V105" i="6" s="1"/>
  <c r="V106" i="6"/>
  <c r="BC109" i="6"/>
  <c r="V109" i="6" s="1"/>
  <c r="V110" i="6"/>
  <c r="AY85" i="6"/>
  <c r="BC21" i="6"/>
  <c r="F75" i="6"/>
  <c r="BC113" i="6"/>
  <c r="V113" i="6" s="1"/>
  <c r="BB105" i="6"/>
  <c r="AE105" i="6" s="1"/>
  <c r="AE106" i="6"/>
  <c r="BB109" i="6"/>
  <c r="AE109" i="6" s="1"/>
  <c r="AE110" i="6"/>
  <c r="G75" i="6"/>
  <c r="AX75" i="6"/>
  <c r="BB21" i="6"/>
  <c r="I45" i="6"/>
  <c r="F93" i="6"/>
  <c r="F82" i="6"/>
  <c r="F57" i="6"/>
  <c r="F21" i="6"/>
  <c r="F85" i="6"/>
  <c r="AA45" i="6"/>
  <c r="AA70" i="6"/>
  <c r="AW85" i="6"/>
  <c r="BA21" i="6"/>
  <c r="L20" i="6"/>
  <c r="M21" i="6" s="1"/>
  <c r="BA113" i="6"/>
  <c r="L114" i="6"/>
  <c r="L59" i="6"/>
  <c r="L64" i="6" s="1"/>
  <c r="B93" i="6"/>
  <c r="AD70" i="6"/>
  <c r="B75" i="6"/>
  <c r="AZ109" i="6"/>
  <c r="L109" i="6" s="1"/>
  <c r="B85" i="6"/>
  <c r="B82" i="6"/>
  <c r="R45" i="6"/>
  <c r="H85" i="6"/>
  <c r="AZ113" i="6"/>
  <c r="L113" i="6" s="1"/>
  <c r="C85" i="6"/>
  <c r="C21" i="6"/>
  <c r="B67" i="6"/>
  <c r="AQ82" i="6"/>
  <c r="AW57" i="6"/>
  <c r="AZ93" i="6"/>
  <c r="AZ67" i="6"/>
  <c r="AT57" i="6"/>
  <c r="U45" i="6"/>
  <c r="AZ75" i="6"/>
  <c r="AZ82" i="6"/>
  <c r="AZ21" i="6"/>
  <c r="AZ85" i="6"/>
  <c r="I70" i="6"/>
  <c r="AP75" i="6"/>
  <c r="K69" i="6"/>
  <c r="AB70" i="6"/>
  <c r="AC70" i="6"/>
  <c r="H75" i="6"/>
  <c r="H67" i="6"/>
  <c r="H93" i="6"/>
  <c r="J69" i="6"/>
  <c r="AM67" i="6"/>
  <c r="H57" i="6"/>
  <c r="D67" i="6"/>
  <c r="AC45" i="6"/>
  <c r="AM82" i="6"/>
  <c r="G85" i="6"/>
  <c r="E67" i="6"/>
  <c r="J70" i="6"/>
  <c r="K45" i="6"/>
  <c r="AB45" i="6"/>
  <c r="K70" i="6"/>
  <c r="I69" i="6"/>
  <c r="C82" i="6"/>
  <c r="G82" i="6"/>
  <c r="G67" i="6"/>
  <c r="C67" i="6"/>
  <c r="G93" i="6"/>
  <c r="H21" i="6"/>
  <c r="G21" i="6"/>
  <c r="E93" i="6"/>
  <c r="D82" i="6"/>
  <c r="D75" i="6"/>
  <c r="D85" i="6"/>
  <c r="D93" i="6"/>
  <c r="D21" i="6"/>
  <c r="E21" i="6"/>
  <c r="E75" i="6"/>
  <c r="E57" i="6"/>
  <c r="E85" i="6"/>
  <c r="E82" i="6"/>
  <c r="C93" i="6"/>
  <c r="C75" i="6"/>
  <c r="AW82" i="6"/>
  <c r="AW21" i="6"/>
  <c r="AW75" i="6"/>
  <c r="AW93" i="6"/>
  <c r="T45" i="6"/>
  <c r="S45" i="6"/>
  <c r="AD45" i="6"/>
  <c r="AT67" i="6"/>
  <c r="AQ85" i="6"/>
  <c r="AD69" i="6"/>
  <c r="L45" i="6"/>
  <c r="AL57" i="6"/>
  <c r="AL85" i="6"/>
  <c r="AS85" i="6"/>
  <c r="AU85" i="6"/>
  <c r="AU82" i="6"/>
  <c r="AT93" i="6"/>
  <c r="AT85" i="6"/>
  <c r="AK85" i="6"/>
  <c r="AM85" i="6"/>
  <c r="AX85" i="6"/>
  <c r="AV93" i="6"/>
  <c r="AV85" i="6"/>
  <c r="AU93" i="6"/>
  <c r="AU75" i="6"/>
  <c r="AP85" i="6"/>
  <c r="J45" i="6"/>
  <c r="AR93" i="6"/>
  <c r="AR85" i="6"/>
  <c r="AN85" i="6"/>
  <c r="U69" i="6"/>
  <c r="AU67" i="6"/>
  <c r="AO85" i="6"/>
  <c r="AX57" i="6"/>
  <c r="AT82" i="6"/>
  <c r="L68" i="6"/>
  <c r="AP93" i="6"/>
  <c r="I77" i="6"/>
  <c r="AM93" i="6"/>
  <c r="AM75" i="6"/>
  <c r="AQ67" i="6"/>
  <c r="AQ57" i="6"/>
  <c r="T70" i="6"/>
  <c r="AC77" i="6"/>
  <c r="AP21" i="6"/>
  <c r="AQ21" i="6"/>
  <c r="AP67" i="6"/>
  <c r="U20" i="6"/>
  <c r="L69" i="6"/>
  <c r="AY67" i="6"/>
  <c r="AX21" i="6"/>
  <c r="AL67" i="6"/>
  <c r="AQ93" i="6"/>
  <c r="AU21" i="6"/>
  <c r="AB59" i="6"/>
  <c r="AL93" i="6"/>
  <c r="AX82" i="6"/>
  <c r="AY93" i="6"/>
  <c r="AD20" i="6"/>
  <c r="AD72" i="6" s="1"/>
  <c r="AT21" i="6"/>
  <c r="R69" i="6"/>
  <c r="AX93" i="6"/>
  <c r="AP57" i="6"/>
  <c r="AL82" i="6"/>
  <c r="AL75" i="6"/>
  <c r="J59" i="6"/>
  <c r="J64" i="6" s="1"/>
  <c r="AY57" i="6"/>
  <c r="AR75" i="6"/>
  <c r="AY75" i="6"/>
  <c r="AY21" i="6"/>
  <c r="R70" i="6"/>
  <c r="AN67" i="6"/>
  <c r="AK93" i="6"/>
  <c r="S70" i="6"/>
  <c r="AN93" i="6"/>
  <c r="AR67" i="6"/>
  <c r="AY82" i="6"/>
  <c r="AW67" i="6"/>
  <c r="AR82" i="6"/>
  <c r="T69" i="6"/>
  <c r="AS82" i="6"/>
  <c r="AD59" i="6"/>
  <c r="S59" i="6"/>
  <c r="AC68" i="6"/>
  <c r="AB69" i="6"/>
  <c r="AX67" i="6"/>
  <c r="S69" i="6"/>
  <c r="AA77" i="6"/>
  <c r="H109" i="6"/>
  <c r="R77" i="6"/>
  <c r="J114" i="6"/>
  <c r="I114" i="6"/>
  <c r="U77" i="6"/>
  <c r="S77" i="6"/>
  <c r="AD77" i="6"/>
  <c r="T77" i="6"/>
  <c r="C109" i="6"/>
  <c r="E109" i="6"/>
  <c r="AR109" i="6"/>
  <c r="J109" i="6" s="1"/>
  <c r="AO109" i="6"/>
  <c r="AN113" i="6"/>
  <c r="I113" i="6" s="1"/>
  <c r="AP113" i="6"/>
  <c r="AB113" i="6" s="1"/>
  <c r="AX113" i="6"/>
  <c r="AD113" i="6" s="1"/>
  <c r="AT113" i="6"/>
  <c r="AC113" i="6" s="1"/>
  <c r="D115" i="6"/>
  <c r="AQ113" i="6"/>
  <c r="S113" i="6" s="1"/>
  <c r="AV57" i="6"/>
  <c r="AV21" i="6"/>
  <c r="AV75" i="6"/>
  <c r="AA20" i="6"/>
  <c r="I20" i="6"/>
  <c r="I82" i="6" s="1"/>
  <c r="AK57" i="6"/>
  <c r="R20" i="6"/>
  <c r="AO113" i="6"/>
  <c r="AT109" i="6"/>
  <c r="AC109" i="6" s="1"/>
  <c r="AC110" i="6"/>
  <c r="AK75" i="6"/>
  <c r="S101" i="6"/>
  <c r="R59" i="6"/>
  <c r="I59" i="6"/>
  <c r="I64" i="6" s="1"/>
  <c r="AK67" i="6"/>
  <c r="AA59" i="6"/>
  <c r="K77" i="6"/>
  <c r="U70" i="6"/>
  <c r="L77" i="6"/>
  <c r="AN109" i="6"/>
  <c r="I109" i="6" s="1"/>
  <c r="AA69" i="6"/>
  <c r="AC106" i="6"/>
  <c r="AT105" i="6"/>
  <c r="AC105" i="6" s="1"/>
  <c r="AX109" i="6"/>
  <c r="AD109" i="6" s="1"/>
  <c r="AD110" i="6"/>
  <c r="AN82" i="6"/>
  <c r="AV67" i="6"/>
  <c r="G110" i="6"/>
  <c r="G109" i="6" s="1"/>
  <c r="G105" i="6"/>
  <c r="AS109" i="6"/>
  <c r="J101" i="6"/>
  <c r="J100" i="6" s="1"/>
  <c r="G115" i="6"/>
  <c r="AY113" i="6"/>
  <c r="U113" i="6" s="1"/>
  <c r="AW109" i="6"/>
  <c r="AN75" i="6"/>
  <c r="AU105" i="6"/>
  <c r="T105" i="6" s="1"/>
  <c r="T106" i="6"/>
  <c r="L70" i="6"/>
  <c r="AX105" i="6"/>
  <c r="AD105" i="6" s="1"/>
  <c r="AD106" i="6"/>
  <c r="B115" i="6"/>
  <c r="AB20" i="6"/>
  <c r="AB72" i="6" s="1"/>
  <c r="J20" i="6"/>
  <c r="J75" i="6" s="1"/>
  <c r="S20" i="6"/>
  <c r="AO21" i="6"/>
  <c r="AO57" i="6"/>
  <c r="AR113" i="6"/>
  <c r="J113" i="6" s="1"/>
  <c r="AO67" i="6"/>
  <c r="K102" i="6"/>
  <c r="K100" i="6" s="1"/>
  <c r="AO82" i="6"/>
  <c r="AS113" i="6"/>
  <c r="AQ109" i="6"/>
  <c r="S109" i="6" s="1"/>
  <c r="S110" i="6"/>
  <c r="T68" i="6"/>
  <c r="AO93" i="6"/>
  <c r="T59" i="6"/>
  <c r="AS67" i="6"/>
  <c r="K59" i="6"/>
  <c r="K64" i="6" s="1"/>
  <c r="AC59" i="6"/>
  <c r="L106" i="6"/>
  <c r="L110" i="6" s="1"/>
  <c r="AS75" i="6"/>
  <c r="AR21" i="6"/>
  <c r="AR57" i="6"/>
  <c r="T110" i="6"/>
  <c r="AU109" i="6"/>
  <c r="T109" i="6" s="1"/>
  <c r="U59" i="6"/>
  <c r="AB110" i="6"/>
  <c r="AP109" i="6"/>
  <c r="E115" i="6"/>
  <c r="K106" i="6"/>
  <c r="K110" i="6" s="1"/>
  <c r="D110" i="6"/>
  <c r="D109" i="6" s="1"/>
  <c r="D105" i="6"/>
  <c r="F105" i="6"/>
  <c r="F110" i="6"/>
  <c r="F109" i="6" s="1"/>
  <c r="AC69" i="6"/>
  <c r="U110" i="6"/>
  <c r="AY109" i="6"/>
  <c r="J106" i="6"/>
  <c r="J110" i="6" s="1"/>
  <c r="AB102" i="6"/>
  <c r="AB100" i="6" s="1"/>
  <c r="AY105" i="6"/>
  <c r="U106" i="6"/>
  <c r="AW113" i="6"/>
  <c r="J77" i="6"/>
  <c r="U101" i="6"/>
  <c r="U100" i="6" s="1"/>
  <c r="AU113" i="6"/>
  <c r="T113" i="6" s="1"/>
  <c r="AS57" i="6"/>
  <c r="AS21" i="6"/>
  <c r="T20" i="6"/>
  <c r="AC20" i="6"/>
  <c r="K20" i="6"/>
  <c r="K75" i="6" s="1"/>
  <c r="AQ105" i="6"/>
  <c r="S105" i="6" s="1"/>
  <c r="I106" i="6"/>
  <c r="I110" i="6" s="1"/>
  <c r="AB106" i="6"/>
  <c r="AP105" i="6"/>
  <c r="AS93" i="6"/>
  <c r="AV109" i="6"/>
  <c r="K109" i="6" s="1"/>
  <c r="AV82" i="6"/>
  <c r="AB77" i="6"/>
  <c r="L72" i="6" l="1"/>
  <c r="I88" i="6"/>
  <c r="L88" i="6"/>
  <c r="K72" i="6"/>
  <c r="I72" i="6"/>
  <c r="J72" i="6"/>
  <c r="R75" i="6"/>
  <c r="R72" i="6"/>
  <c r="W21" i="6"/>
  <c r="V72" i="6"/>
  <c r="U82" i="6"/>
  <c r="U72" i="6"/>
  <c r="S93" i="6"/>
  <c r="S72" i="6"/>
  <c r="K88" i="6"/>
  <c r="AC85" i="6"/>
  <c r="AC72" i="6"/>
  <c r="T93" i="6"/>
  <c r="T72" i="6"/>
  <c r="AA57" i="6"/>
  <c r="AA72" i="6"/>
  <c r="J88" i="6"/>
  <c r="AB105" i="6"/>
  <c r="R105" i="6"/>
  <c r="AB109" i="6"/>
  <c r="R109" i="6"/>
  <c r="S100" i="6"/>
  <c r="V21" i="6"/>
  <c r="V67" i="6"/>
  <c r="V93" i="6"/>
  <c r="V82" i="6"/>
  <c r="V57" i="6"/>
  <c r="V85" i="6"/>
  <c r="V75" i="6"/>
  <c r="L93" i="6"/>
  <c r="AD82" i="6"/>
  <c r="AE21" i="6"/>
  <c r="L67" i="6"/>
  <c r="K67" i="6"/>
  <c r="I67" i="6"/>
  <c r="R85" i="6"/>
  <c r="AC57" i="6"/>
  <c r="AD57" i="6"/>
  <c r="AB93" i="6"/>
  <c r="AB57" i="6"/>
  <c r="U57" i="6"/>
  <c r="S57" i="6"/>
  <c r="R57" i="6"/>
  <c r="J67" i="6"/>
  <c r="T57" i="6"/>
  <c r="J85" i="6"/>
  <c r="T85" i="6"/>
  <c r="J82" i="6"/>
  <c r="L85" i="6"/>
  <c r="AD85" i="6"/>
  <c r="S85" i="6"/>
  <c r="AD93" i="6"/>
  <c r="AB85" i="6"/>
  <c r="K85" i="6"/>
  <c r="AA93" i="6"/>
  <c r="AA85" i="6"/>
  <c r="AD67" i="6"/>
  <c r="U85" i="6"/>
  <c r="I85" i="6"/>
  <c r="U75" i="6"/>
  <c r="U93" i="6"/>
  <c r="U67" i="6"/>
  <c r="AD75" i="6"/>
  <c r="J93" i="6"/>
  <c r="I75" i="6"/>
  <c r="I93" i="6"/>
  <c r="R93" i="6"/>
  <c r="R82" i="6"/>
  <c r="R67" i="6"/>
  <c r="AC21" i="6"/>
  <c r="AB75" i="6"/>
  <c r="S82" i="6"/>
  <c r="L82" i="6"/>
  <c r="K82" i="6"/>
  <c r="AC82" i="6"/>
  <c r="AA82" i="6"/>
  <c r="AA75" i="6"/>
  <c r="K21" i="6"/>
  <c r="K57" i="6"/>
  <c r="K93" i="6"/>
  <c r="T67" i="6"/>
  <c r="AC75" i="6"/>
  <c r="AB67" i="6"/>
  <c r="T21" i="6"/>
  <c r="T75" i="6"/>
  <c r="AC93" i="6"/>
  <c r="I21" i="6"/>
  <c r="I57" i="6"/>
  <c r="U105" i="6"/>
  <c r="U109" i="6"/>
  <c r="S21" i="6"/>
  <c r="S67" i="6"/>
  <c r="AD21" i="6"/>
  <c r="T82" i="6"/>
  <c r="AC67" i="6"/>
  <c r="J21" i="6"/>
  <c r="J57" i="6"/>
  <c r="U21" i="6"/>
  <c r="AB21" i="6"/>
  <c r="AB82" i="6"/>
  <c r="S75" i="6"/>
  <c r="AA67" i="6"/>
  <c r="L57" i="6"/>
  <c r="L21" i="6"/>
  <c r="L75" i="6"/>
</calcChain>
</file>

<file path=xl/sharedStrings.xml><?xml version="1.0" encoding="utf-8"?>
<sst xmlns="http://schemas.openxmlformats.org/spreadsheetml/2006/main" count="571" uniqueCount="353">
  <si>
    <t>4T2011</t>
  </si>
  <si>
    <t>4T2012</t>
  </si>
  <si>
    <t>4T2013</t>
  </si>
  <si>
    <t>4T2014</t>
  </si>
  <si>
    <t>4T2015</t>
  </si>
  <si>
    <t>4T2016</t>
  </si>
  <si>
    <t>4T2017</t>
  </si>
  <si>
    <t>1T2018</t>
  </si>
  <si>
    <t>2T2018</t>
  </si>
  <si>
    <t>3T2018</t>
  </si>
  <si>
    <t>4T2018</t>
  </si>
  <si>
    <t>1T2019</t>
  </si>
  <si>
    <t>2T2019</t>
  </si>
  <si>
    <t>3T2019</t>
  </si>
  <si>
    <t>4T2019</t>
  </si>
  <si>
    <t>1T2020</t>
  </si>
  <si>
    <t>2T2020</t>
  </si>
  <si>
    <t>3T2020</t>
  </si>
  <si>
    <t>4T2020</t>
  </si>
  <si>
    <t>1T2021</t>
  </si>
  <si>
    <t>2T2021</t>
  </si>
  <si>
    <t>3T2021</t>
  </si>
  <si>
    <t>Ativo</t>
  </si>
  <si>
    <t xml:space="preserve">Ativo circulante </t>
  </si>
  <si>
    <t xml:space="preserve">      Caixa e equivalentes de caixa</t>
  </si>
  <si>
    <t xml:space="preserve">      Aplicações Financeiras</t>
  </si>
  <si>
    <t xml:space="preserve">      Estoques</t>
  </si>
  <si>
    <t xml:space="preserve">      Tributos a recuperar</t>
  </si>
  <si>
    <t xml:space="preserve">      Despesas antecipadas </t>
  </si>
  <si>
    <t xml:space="preserve">      Outros ativos circulantes</t>
  </si>
  <si>
    <t xml:space="preserve">      Adiantamentos</t>
  </si>
  <si>
    <t xml:space="preserve">      Partes Relacionadas</t>
  </si>
  <si>
    <t xml:space="preserve">Ativo não circulante </t>
  </si>
  <si>
    <t xml:space="preserve">     Investimentos</t>
  </si>
  <si>
    <t xml:space="preserve">     Imobilizado</t>
  </si>
  <si>
    <t>TOTAL DO ATIVO</t>
  </si>
  <si>
    <t>Passivo</t>
  </si>
  <si>
    <t xml:space="preserve">Passivo circulante </t>
  </si>
  <si>
    <t xml:space="preserve">      Obrigações sociais e trabalhistas</t>
  </si>
  <si>
    <t xml:space="preserve">      Fornecedores</t>
  </si>
  <si>
    <t xml:space="preserve">      Obrigações fiscais</t>
  </si>
  <si>
    <t xml:space="preserve">      Empréstimos e financiamentos</t>
  </si>
  <si>
    <t xml:space="preserve">      Adiantamentos de clientes</t>
  </si>
  <si>
    <t xml:space="preserve">      Parcelamentos Tributários</t>
  </si>
  <si>
    <t xml:space="preserve">      Vendas entrega futura</t>
  </si>
  <si>
    <t xml:space="preserve">      Dividendos a distribuir</t>
  </si>
  <si>
    <t xml:space="preserve">      Outras obrigações</t>
  </si>
  <si>
    <t xml:space="preserve">Passivo não circulante </t>
  </si>
  <si>
    <t xml:space="preserve">Patrimônio líquido </t>
  </si>
  <si>
    <t xml:space="preserve">      Capital social</t>
  </si>
  <si>
    <t xml:space="preserve">      Despesas da oferta</t>
  </si>
  <si>
    <t xml:space="preserve">      Ajustes de avaliação patrimonial</t>
  </si>
  <si>
    <t xml:space="preserve">      Reserva doações e subvenções e investimentos</t>
  </si>
  <si>
    <t xml:space="preserve">      Reserva de lucros </t>
  </si>
  <si>
    <t xml:space="preserve">      Dividendos adicionais propostos</t>
  </si>
  <si>
    <t>TOTAL DO PASSIVO E PATRIMÔNIO LÍQUIDO</t>
  </si>
  <si>
    <t>12M11</t>
  </si>
  <si>
    <t>12M12</t>
  </si>
  <si>
    <t>12M13</t>
  </si>
  <si>
    <t>12M14</t>
  </si>
  <si>
    <t>12M15</t>
  </si>
  <si>
    <t>12M16</t>
  </si>
  <si>
    <t>12M17</t>
  </si>
  <si>
    <t>3M18</t>
  </si>
  <si>
    <t>6M18</t>
  </si>
  <si>
    <t>9M18</t>
  </si>
  <si>
    <t>12M18</t>
  </si>
  <si>
    <t>3M19</t>
  </si>
  <si>
    <t>6M19</t>
  </si>
  <si>
    <t>9M19</t>
  </si>
  <si>
    <t>12M19</t>
  </si>
  <si>
    <t>3M20</t>
  </si>
  <si>
    <t>6M20</t>
  </si>
  <si>
    <t>9M20</t>
  </si>
  <si>
    <t>12M20</t>
  </si>
  <si>
    <t>3M21</t>
  </si>
  <si>
    <t>6M21</t>
  </si>
  <si>
    <t>9M21</t>
  </si>
  <si>
    <t>Demonstração do Resultado</t>
  </si>
  <si>
    <t>Receita operacional líquida</t>
  </si>
  <si>
    <t>Lucro bruto</t>
  </si>
  <si>
    <t>Despesas com Vendas, Gerais e Admin.</t>
  </si>
  <si>
    <t>Despesas com vendas</t>
  </si>
  <si>
    <t>Despesas Gerais e Administrativas</t>
  </si>
  <si>
    <t>Outras Receitas e Despesas Operacionais</t>
  </si>
  <si>
    <t>Resultado com Equivalencia Patrimonial</t>
  </si>
  <si>
    <t>Resultado operacional</t>
  </si>
  <si>
    <t>Resultado financeiro</t>
  </si>
  <si>
    <t>Resultado antes dos impostos e contribuições</t>
  </si>
  <si>
    <t xml:space="preserve">Imposto de renda e contribuição social </t>
  </si>
  <si>
    <t>Corrente</t>
  </si>
  <si>
    <t>Diferido</t>
  </si>
  <si>
    <t>Lucro líquido do exercício</t>
  </si>
  <si>
    <t>Depreciação</t>
  </si>
  <si>
    <t>Ajuste a valor justo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</si>
  <si>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</si>
  <si>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</si>
  <si>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</si>
  <si>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</si>
  <si>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</si>
  <si>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</si>
  <si>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</si>
  <si>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</si>
  <si>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</si>
  <si>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</si>
  <si>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</si>
  <si>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</si>
  <si>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</si>
  <si>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</si>
  <si>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</si>
  <si>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Demonstração do Fluxo de Caixa</t>
  </si>
  <si>
    <t xml:space="preserve">Em milhares de reais, exceto percentuais e índices </t>
  </si>
  <si>
    <t>Fluxo de caixa das atividades operacionais:</t>
  </si>
  <si>
    <t>Ajustes para reconciliar o lucro com o caixa gerado nas atividades operacionais:</t>
  </si>
  <si>
    <t>Depreciação e Amortização</t>
  </si>
  <si>
    <t>Variação cambial sobre empréstimos</t>
  </si>
  <si>
    <t>Provisão para litígios</t>
  </si>
  <si>
    <t>Ajuste a valor presente de passivo de arrendamento</t>
  </si>
  <si>
    <t>Custo residual do ativo imobilizado baixado</t>
  </si>
  <si>
    <t>Ajuste avaliação patrimonial</t>
  </si>
  <si>
    <t>Ajuste do exercício anterior</t>
  </si>
  <si>
    <t>(Aumento) Redução em ativos:</t>
  </si>
  <si>
    <t>Contas a receber de clientes</t>
  </si>
  <si>
    <t>Instrumentos financeiros</t>
  </si>
  <si>
    <t>Estoques</t>
  </si>
  <si>
    <t>Impostos a recuperar</t>
  </si>
  <si>
    <t>Adiantamentos</t>
  </si>
  <si>
    <t>Despesas antecipadas</t>
  </si>
  <si>
    <t>Partes relacionadas</t>
  </si>
  <si>
    <t>Depósitos judiciais</t>
  </si>
  <si>
    <t>Outros ativos</t>
  </si>
  <si>
    <t>Aumento (Redução) em passivos</t>
  </si>
  <si>
    <t>Fornecedores</t>
  </si>
  <si>
    <t>Impostos a recolher</t>
  </si>
  <si>
    <t>Salários, provisões e encargos sociais</t>
  </si>
  <si>
    <t>Parcelamentos tributários</t>
  </si>
  <si>
    <t>Adiantamento de clientes</t>
  </si>
  <si>
    <t>Imposto de Renda Pago</t>
  </si>
  <si>
    <t>Outros passivos</t>
  </si>
  <si>
    <t>Imposto de renda e contribuição social pagos</t>
  </si>
  <si>
    <t>Caixa líquido gerado pelas atividades operacionais</t>
  </si>
  <si>
    <t>Fluxos de caixa das atividades de investimento:</t>
  </si>
  <si>
    <t>Caixa oriundo de incorporação de coligada</t>
  </si>
  <si>
    <t>Aplicações financeiras</t>
  </si>
  <si>
    <t>Aquisição de Imobilizado</t>
  </si>
  <si>
    <t>Aquisição de Intangível</t>
  </si>
  <si>
    <t>Investimento</t>
  </si>
  <si>
    <t>Caixa líquido utilizado nas atividades de investimento</t>
  </si>
  <si>
    <t>Fluxos de caixa das atividades de financiamentos</t>
  </si>
  <si>
    <t>(-) Custos com a emissão de ações</t>
  </si>
  <si>
    <t>Empréstimos e financiamentos captados</t>
  </si>
  <si>
    <t>Pagamentos de empréstimos e financiamentos</t>
  </si>
  <si>
    <t>Pagamento de dividendos</t>
  </si>
  <si>
    <t>Pagamento de arrendamentos</t>
  </si>
  <si>
    <t>Caixa líquido utilizado nas atividades de financiamento</t>
  </si>
  <si>
    <t>Variação de caixa e equivalentes de caixa</t>
  </si>
  <si>
    <t>Caixa e equivalentes de caixa - no início do período</t>
  </si>
  <si>
    <t>Caixa e equivalentes de caixa - no final do período</t>
  </si>
  <si>
    <t>Valores em R$ milhões</t>
  </si>
  <si>
    <t>Volume</t>
  </si>
  <si>
    <t>Insumos</t>
  </si>
  <si>
    <t>Sementes (mil ton)</t>
  </si>
  <si>
    <t>Fertilizantes (mil ton)</t>
  </si>
  <si>
    <t>Grãos</t>
  </si>
  <si>
    <t>Soja (mil ton)</t>
  </si>
  <si>
    <t>Milho (mil ton)</t>
  </si>
  <si>
    <t>Trigo e outros (mil ton)</t>
  </si>
  <si>
    <t>Indústria</t>
  </si>
  <si>
    <t>Biodiesel (mil m³)</t>
  </si>
  <si>
    <t>Farelo e outros (mil ton)</t>
  </si>
  <si>
    <t>Receita Líquida</t>
  </si>
  <si>
    <t>Crescimento (YoY)</t>
  </si>
  <si>
    <t>Sementes</t>
  </si>
  <si>
    <t>Fertilizantes</t>
  </si>
  <si>
    <t>Defensivos</t>
  </si>
  <si>
    <t>Soja</t>
  </si>
  <si>
    <t>Milho</t>
  </si>
  <si>
    <t>Trigo e outros</t>
  </si>
  <si>
    <t>Biodiesel</t>
  </si>
  <si>
    <t>Farelo e outros</t>
  </si>
  <si>
    <t>Preço Unitário</t>
  </si>
  <si>
    <t>Sementes (R$/kg)</t>
  </si>
  <si>
    <t>Fertilizantes (R$/kg)</t>
  </si>
  <si>
    <t>Defensivos (R$/l)</t>
  </si>
  <si>
    <t>Soja (R$/kg)</t>
  </si>
  <si>
    <t>Milho (R$/kg)</t>
  </si>
  <si>
    <t>NA</t>
  </si>
  <si>
    <t>Trigo e outros (R$/kg)</t>
  </si>
  <si>
    <t>Biodiesel (R$/l)</t>
  </si>
  <si>
    <t>Farelo e outros (R$/kg)</t>
  </si>
  <si>
    <t>Lucro Bruto</t>
  </si>
  <si>
    <t>Margem Bruta</t>
  </si>
  <si>
    <t>Lucro Bruto Ajustado</t>
  </si>
  <si>
    <t>Margem Bruta Ajustada</t>
  </si>
  <si>
    <t>SG&amp;A</t>
  </si>
  <si>
    <t>%/ROL</t>
  </si>
  <si>
    <t>EBITDA</t>
  </si>
  <si>
    <t>Margem EBITDA</t>
  </si>
  <si>
    <t>IR</t>
  </si>
  <si>
    <t>Lucro Líquido</t>
  </si>
  <si>
    <t>Margem Líquida</t>
  </si>
  <si>
    <t>Dívida Líquida (A)</t>
  </si>
  <si>
    <t>(+) Empréstimos e Financiamentos</t>
  </si>
  <si>
    <t>(-) Caixa e Aplicações Financeiras</t>
  </si>
  <si>
    <t>Dívida Líquida (A) - Ajustado IPO</t>
  </si>
  <si>
    <t>ROE¹</t>
  </si>
  <si>
    <t>Patrimônio Líquido (B)</t>
  </si>
  <si>
    <t>ROE¹ - Ajustado IPO</t>
  </si>
  <si>
    <t>ROIC²</t>
  </si>
  <si>
    <t>Lucro Operacional (NOPAT) - LTM</t>
  </si>
  <si>
    <t>Capital Investido (A + B)</t>
  </si>
  <si>
    <t>¹Retorno sobre o patrimônio Líquido (ROE): Lucro Líquido (últimos 12 meses) / Patrimônio Líquido (média últimos 12 meses)</t>
  </si>
  <si>
    <t>²Retorno sobre o capital investido (ROIC): Lucro operacional depois dos impostos (últimos 12 meses) / capital investido (média últimos 12 meses)</t>
  </si>
  <si>
    <t>Principais Números da Companhia</t>
  </si>
  <si>
    <t>CAGR</t>
  </si>
  <si>
    <t>EBITDA Ajustado</t>
  </si>
  <si>
    <t>Margem EBITDA Ajustado</t>
  </si>
  <si>
    <t>Defensivos (kg/l)</t>
  </si>
  <si>
    <t>Dados Operacionais</t>
  </si>
  <si>
    <t>Preço</t>
  </si>
  <si>
    <t>Farelo</t>
  </si>
  <si>
    <t>4T2021</t>
  </si>
  <si>
    <t>12M21</t>
  </si>
  <si>
    <t>4T21</t>
  </si>
  <si>
    <t>EBITDA AJUSTADO</t>
  </si>
  <si>
    <t xml:space="preserve">             -  </t>
  </si>
  <si>
    <t xml:space="preserve">               -  </t>
  </si>
  <si>
    <t>1T2022</t>
  </si>
  <si>
    <t>3M22</t>
  </si>
  <si>
    <t>1T22</t>
  </si>
  <si>
    <t>Rendimento de aplicação financeira</t>
  </si>
  <si>
    <t>2T2022</t>
  </si>
  <si>
    <t>6M22</t>
  </si>
  <si>
    <t>2T22</t>
  </si>
  <si>
    <t>3T2022</t>
  </si>
  <si>
    <t>9M22</t>
  </si>
  <si>
    <t>3T22</t>
  </si>
  <si>
    <t xml:space="preserve">      Instrumentos financeiros derivativos</t>
  </si>
  <si>
    <t>4T2022</t>
  </si>
  <si>
    <t xml:space="preserve">                  -   </t>
  </si>
  <si>
    <t xml:space="preserve">      Participações de não controladores</t>
  </si>
  <si>
    <t>12M22</t>
  </si>
  <si>
    <t>4T22</t>
  </si>
  <si>
    <t>Pagamentos de juros sobre empréstimos e financiamentos</t>
  </si>
  <si>
    <t>1T23</t>
  </si>
  <si>
    <t>1T2023</t>
  </si>
  <si>
    <t>2T2023</t>
  </si>
  <si>
    <t>3T2023</t>
  </si>
  <si>
    <t>4T2023</t>
  </si>
  <si>
    <t>3M23</t>
  </si>
  <si>
    <t>6M23</t>
  </si>
  <si>
    <t>9M23</t>
  </si>
  <si>
    <t>12M23</t>
  </si>
  <si>
    <t>2T23</t>
  </si>
  <si>
    <t>3T23</t>
  </si>
  <si>
    <t>4T23</t>
  </si>
  <si>
    <t>Despesa com outorga de opções de ações</t>
  </si>
  <si>
    <t>Ações em tesouraria</t>
  </si>
  <si>
    <t xml:space="preserve">      Ações em tesouraria</t>
  </si>
  <si>
    <t>Lucro do período antes dos impostos</t>
  </si>
  <si>
    <t>Aquisição de controlada, líquido do caixa adquirido no consolidado</t>
  </si>
  <si>
    <t xml:space="preserve">      Ajuste acumulado de conversão</t>
  </si>
  <si>
    <t>Juros, atualização monetária e variação cambial sobre empréstimos</t>
  </si>
  <si>
    <t>Provisão para perdas esperadas com contas a receber de clientes</t>
  </si>
  <si>
    <t>1T2024</t>
  </si>
  <si>
    <t>2T2024</t>
  </si>
  <si>
    <t>3T2024</t>
  </si>
  <si>
    <t>4T2024</t>
  </si>
  <si>
    <t>3M24</t>
  </si>
  <si>
    <t>6M24</t>
  </si>
  <si>
    <t>9M24</t>
  </si>
  <si>
    <t>12M24</t>
  </si>
  <si>
    <t>1T24</t>
  </si>
  <si>
    <t>2T24</t>
  </si>
  <si>
    <t>3T24</t>
  </si>
  <si>
    <t>4T24</t>
  </si>
  <si>
    <t>(+/-) Instrumentos Financeiros Derivativos</t>
  </si>
  <si>
    <t xml:space="preserve">Lucro Líquido </t>
  </si>
  <si>
    <t>Aumento de Capital/Integralização de Capital</t>
  </si>
  <si>
    <t>Resgates de aplicações financeiras</t>
  </si>
  <si>
    <t>Alteração de participação em Controlada</t>
  </si>
  <si>
    <t>1T2025</t>
  </si>
  <si>
    <t>2T2025</t>
  </si>
  <si>
    <t>3T2025</t>
  </si>
  <si>
    <t>4T2025</t>
  </si>
  <si>
    <t>3M25</t>
  </si>
  <si>
    <t>6M25</t>
  </si>
  <si>
    <t>9M25</t>
  </si>
  <si>
    <t>12M25</t>
  </si>
  <si>
    <t>1T25</t>
  </si>
  <si>
    <t>2T25</t>
  </si>
  <si>
    <t>3T25</t>
  </si>
  <si>
    <t>4T25</t>
  </si>
  <si>
    <t>Imposto de Renda e Contribuição Social</t>
  </si>
  <si>
    <t>Contas a receber</t>
  </si>
  <si>
    <t>Ativo Biológico</t>
  </si>
  <si>
    <t>Intangível</t>
  </si>
  <si>
    <t>Impostos diferidos</t>
  </si>
  <si>
    <t>Depósitos Judiciais</t>
  </si>
  <si>
    <t xml:space="preserve">Despesas antecipadas </t>
  </si>
  <si>
    <t xml:space="preserve">Outros valores a receber </t>
  </si>
  <si>
    <t>Despesas a apropriar</t>
  </si>
  <si>
    <t>Custo das mercadorias e produtos vendidos</t>
  </si>
  <si>
    <t>Lucro por Ação</t>
  </si>
  <si>
    <t>Imposto de renda e Contribuição Social a recuperar</t>
  </si>
  <si>
    <t>Imposto de renda e contribuição social a recolher</t>
  </si>
  <si>
    <t xml:space="preserve">      Imposto de Renda e Contribuição Social a Recolher</t>
  </si>
  <si>
    <t xml:space="preserve">     Outras obrigações</t>
  </si>
  <si>
    <t xml:space="preserve">     Parcelamentos tributários</t>
  </si>
  <si>
    <t xml:space="preserve"> Ajuste acumulado de conversão</t>
  </si>
  <si>
    <t xml:space="preserve"> Reserva de capital</t>
  </si>
  <si>
    <t xml:space="preserve"> Transações de capital com controladas</t>
  </si>
  <si>
    <t>Recebimento de adiantamento para futuro aumento de capital</t>
  </si>
  <si>
    <t>Receitas financeiras líquidas</t>
  </si>
  <si>
    <t>Despesas financeiras líquidas</t>
  </si>
  <si>
    <t>Ajuste a valor justo de commodities e outros estoques</t>
  </si>
  <si>
    <t>Crédito tributário extemporâneo registrado</t>
  </si>
  <si>
    <t xml:space="preserve">      Arrendamentos a pagar</t>
  </si>
  <si>
    <t>Resultado Financeiro líquido</t>
  </si>
  <si>
    <t>Depreciação de ativo direito de uso em arrendamento</t>
  </si>
  <si>
    <t>Ajuste a valor justo de instrumentos financeiros derivativos líquido dos recebimentos e pagamentos</t>
  </si>
  <si>
    <t>Custo do ativo intangível baixado</t>
  </si>
  <si>
    <t>Resultado de equivalência patrimonial</t>
  </si>
  <si>
    <t>Caixa  gerado nas operações</t>
  </si>
  <si>
    <t>Formação de ativo biológico</t>
  </si>
  <si>
    <t>Investimento em Controladas e Coligadas</t>
  </si>
  <si>
    <t>-</t>
  </si>
  <si>
    <t>Contas a receber de partes relacionadas</t>
  </si>
  <si>
    <t>Contas a receber clientes</t>
  </si>
  <si>
    <t xml:space="preserve">   Imobilizado em operação</t>
  </si>
  <si>
    <t xml:space="preserve">   Direito de uso em arrendamentos</t>
  </si>
  <si>
    <t>Provisões para litígios</t>
  </si>
  <si>
    <t>Lucro Bruto Ajustado c/ Hedge</t>
  </si>
  <si>
    <t>Hedge</t>
  </si>
  <si>
    <t>Margem Bruta Ajustada c/ Hedge</t>
  </si>
  <si>
    <t>EBITDA Ajustado c/ Hedge</t>
  </si>
  <si>
    <t>Margem EBITDA Ajustado c/ Hedge</t>
  </si>
  <si>
    <t>1T26</t>
  </si>
  <si>
    <t>1T2026</t>
  </si>
  <si>
    <t>2T2026</t>
  </si>
  <si>
    <t>3T2026</t>
  </si>
  <si>
    <t>4T2026</t>
  </si>
  <si>
    <t>3M26</t>
  </si>
  <si>
    <t>Outros</t>
  </si>
  <si>
    <t>2T26</t>
  </si>
  <si>
    <t>Etanol (mil m³)</t>
  </si>
  <si>
    <t>DDG e outros (mil ton)</t>
  </si>
  <si>
    <t>Etanol</t>
  </si>
  <si>
    <t xml:space="preserve">DDG e outros </t>
  </si>
  <si>
    <t>6M26</t>
  </si>
  <si>
    <t>9M26</t>
  </si>
  <si>
    <t>12M26</t>
  </si>
  <si>
    <t>Baixas a prejuízo com recebíveis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</si>
</sst>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_(* #,##0_);_(* \(#,##0\);_(* \-??_);_(@_)"/>
    <numFmt numFmtId="167" formatCode="_-* #,##0.0_-;\-* #,##0.0_-;_-* &quot;-&quot;??_-;_-@_-"/>
    <numFmt numFmtId="168" formatCode="0.0%"/>
    <numFmt numFmtId="169" formatCode="_-* #,##0.000_-;\-* #,##0.0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 tint="0.499984740745262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rgb="FF33B3B1"/>
      <name val="Arial"/>
      <family val="2"/>
    </font>
    <font>
      <b/>
      <sz val="10"/>
      <color rgb="FF001E62"/>
      <name val="Arial"/>
      <family val="2"/>
    </font>
    <font>
      <b/>
      <sz val="11"/>
      <color theme="1"/>
      <name val="Ubuntu Light"/>
      <family val="2"/>
    </font>
    <font>
      <b/>
      <sz val="9"/>
      <color theme="1"/>
      <name val="Ubuntu"/>
      <family val="2"/>
    </font>
    <font>
      <sz val="9"/>
      <color theme="1"/>
      <name val="Ubuntu"/>
      <family val="2"/>
    </font>
    <font>
      <b/>
      <sz val="8"/>
      <color rgb="FF33B3B1"/>
      <name val="Ubuntu Light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170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14" fontId="5" fillId="0" borderId="3" xfId="0" applyNumberFormat="1" applyFont="1" applyBorder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14" fontId="5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vertical="center" wrapText="1"/>
    </xf>
    <xf numFmtId="3" fontId="5" fillId="0" borderId="0" xfId="0" applyNumberFormat="1" applyFont="1"/>
    <xf numFmtId="0" fontId="6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164" fontId="3" fillId="0" borderId="0" xfId="1" applyNumberFormat="1" applyFont="1"/>
    <xf numFmtId="3" fontId="3" fillId="0" borderId="0" xfId="0" applyNumberFormat="1" applyFont="1"/>
    <xf numFmtId="0" fontId="7" fillId="0" borderId="0" xfId="0" applyFont="1" applyAlignment="1">
      <alignment horizontal="left" vertical="center" wrapText="1" indent="2"/>
    </xf>
    <xf numFmtId="0" fontId="7" fillId="0" borderId="0" xfId="0" applyFont="1" applyAlignment="1">
      <alignment horizontal="left" vertical="center" wrapText="1" indent="1"/>
    </xf>
    <xf numFmtId="164" fontId="3" fillId="3" borderId="0" xfId="1" applyNumberFormat="1" applyFont="1" applyFill="1"/>
    <xf numFmtId="164" fontId="3" fillId="0" borderId="0" xfId="0" applyNumberFormat="1" applyFont="1"/>
    <xf numFmtId="43" fontId="3" fillId="0" borderId="0" xfId="1" applyFont="1"/>
    <xf numFmtId="0" fontId="0" fillId="3" borderId="0" xfId="0" applyFill="1"/>
    <xf numFmtId="0" fontId="3" fillId="3" borderId="0" xfId="0" applyFont="1" applyFill="1"/>
    <xf numFmtId="0" fontId="5" fillId="3" borderId="0" xfId="0" applyFont="1" applyFill="1"/>
    <xf numFmtId="3" fontId="3" fillId="3" borderId="0" xfId="0" applyNumberFormat="1" applyFont="1" applyFill="1"/>
    <xf numFmtId="43" fontId="3" fillId="3" borderId="0" xfId="1" applyFont="1" applyFill="1" applyBorder="1"/>
    <xf numFmtId="0" fontId="7" fillId="3" borderId="0" xfId="0" applyFont="1" applyFill="1" applyAlignment="1">
      <alignment vertical="center" wrapText="1"/>
    </xf>
    <xf numFmtId="164" fontId="3" fillId="3" borderId="0" xfId="1" applyNumberFormat="1" applyFont="1" applyFill="1" applyBorder="1"/>
    <xf numFmtId="164" fontId="3" fillId="3" borderId="0" xfId="0" applyNumberFormat="1" applyFont="1" applyFill="1"/>
    <xf numFmtId="0" fontId="3" fillId="0" borderId="0" xfId="0" applyFont="1" applyAlignment="1">
      <alignment vertical="top" wrapText="1"/>
    </xf>
    <xf numFmtId="164" fontId="5" fillId="0" borderId="0" xfId="1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 wrapText="1"/>
    </xf>
    <xf numFmtId="164" fontId="5" fillId="0" borderId="0" xfId="1" applyNumberFormat="1" applyFont="1" applyBorder="1" applyAlignment="1">
      <alignment horizontal="center" vertical="top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164" fontId="5" fillId="0" borderId="0" xfId="1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166" fontId="3" fillId="0" borderId="0" xfId="0" applyNumberFormat="1" applyFont="1"/>
    <xf numFmtId="0" fontId="4" fillId="0" borderId="0" xfId="0" applyFont="1" applyAlignment="1">
      <alignment horizontal="center" vertical="top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166" fontId="5" fillId="0" borderId="0" xfId="1" applyNumberFormat="1" applyFont="1" applyBorder="1"/>
    <xf numFmtId="166" fontId="5" fillId="3" borderId="0" xfId="1" applyNumberFormat="1" applyFont="1" applyFill="1" applyBorder="1"/>
    <xf numFmtId="166" fontId="5" fillId="0" borderId="0" xfId="1" applyNumberFormat="1" applyFont="1" applyFill="1" applyBorder="1"/>
    <xf numFmtId="166" fontId="3" fillId="0" borderId="0" xfId="1" applyNumberFormat="1" applyFont="1" applyBorder="1"/>
    <xf numFmtId="166" fontId="3" fillId="3" borderId="0" xfId="1" applyNumberFormat="1" applyFont="1" applyFill="1" applyBorder="1"/>
    <xf numFmtId="166" fontId="3" fillId="0" borderId="0" xfId="1" applyNumberFormat="1" applyFont="1" applyFill="1" applyBorder="1"/>
    <xf numFmtId="0" fontId="9" fillId="0" borderId="0" xfId="3" applyFont="1"/>
    <xf numFmtId="0" fontId="9" fillId="3" borderId="0" xfId="3" applyFont="1" applyFill="1"/>
    <xf numFmtId="0" fontId="7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164" fontId="5" fillId="3" borderId="0" xfId="1" applyNumberFormat="1" applyFont="1" applyFill="1" applyBorder="1"/>
    <xf numFmtId="0" fontId="8" fillId="0" borderId="0" xfId="0" applyFont="1"/>
    <xf numFmtId="0" fontId="8" fillId="3" borderId="0" xfId="0" applyFont="1" applyFill="1"/>
    <xf numFmtId="167" fontId="10" fillId="0" borderId="0" xfId="1" applyNumberFormat="1" applyFont="1" applyBorder="1"/>
    <xf numFmtId="166" fontId="10" fillId="0" borderId="0" xfId="1" applyNumberFormat="1" applyFont="1" applyBorder="1"/>
    <xf numFmtId="165" fontId="3" fillId="4" borderId="0" xfId="1" applyNumberFormat="1" applyFont="1" applyFill="1" applyBorder="1"/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Continuous" vertical="top"/>
    </xf>
    <xf numFmtId="0" fontId="4" fillId="2" borderId="0" xfId="0" applyFont="1" applyFill="1" applyAlignment="1">
      <alignment horizontal="center" vertical="top"/>
    </xf>
    <xf numFmtId="164" fontId="5" fillId="3" borderId="0" xfId="1" applyNumberFormat="1" applyFont="1" applyFill="1"/>
    <xf numFmtId="0" fontId="3" fillId="3" borderId="0" xfId="0" applyFont="1" applyFill="1" applyAlignment="1">
      <alignment horizontal="left" indent="1"/>
    </xf>
    <xf numFmtId="166" fontId="3" fillId="3" borderId="0" xfId="1" applyNumberFormat="1" applyFont="1" applyFill="1"/>
    <xf numFmtId="9" fontId="3" fillId="3" borderId="0" xfId="2" applyFont="1" applyFill="1"/>
    <xf numFmtId="166" fontId="5" fillId="3" borderId="0" xfId="1" applyNumberFormat="1" applyFont="1" applyFill="1"/>
    <xf numFmtId="0" fontId="5" fillId="3" borderId="4" xfId="0" applyFont="1" applyFill="1" applyBorder="1"/>
    <xf numFmtId="166" fontId="5" fillId="3" borderId="4" xfId="1" applyNumberFormat="1" applyFont="1" applyFill="1" applyBorder="1"/>
    <xf numFmtId="0" fontId="11" fillId="2" borderId="0" xfId="0" applyFont="1" applyFill="1"/>
    <xf numFmtId="0" fontId="11" fillId="2" borderId="0" xfId="0" applyFont="1" applyFill="1" applyAlignment="1">
      <alignment horizontal="centerContinuous"/>
    </xf>
    <xf numFmtId="164" fontId="5" fillId="3" borderId="4" xfId="1" applyNumberFormat="1" applyFont="1" applyFill="1" applyBorder="1"/>
    <xf numFmtId="0" fontId="3" fillId="3" borderId="4" xfId="0" applyFont="1" applyFill="1" applyBorder="1"/>
    <xf numFmtId="0" fontId="3" fillId="3" borderId="0" xfId="0" applyFont="1" applyFill="1" applyAlignment="1">
      <alignment horizontal="left" indent="2"/>
    </xf>
    <xf numFmtId="167" fontId="3" fillId="3" borderId="0" xfId="0" applyNumberFormat="1" applyFont="1" applyFill="1"/>
    <xf numFmtId="167" fontId="3" fillId="4" borderId="0" xfId="1" applyNumberFormat="1" applyFont="1" applyFill="1" applyBorder="1"/>
    <xf numFmtId="165" fontId="3" fillId="3" borderId="0" xfId="1" applyNumberFormat="1" applyFont="1" applyFill="1" applyBorder="1"/>
    <xf numFmtId="0" fontId="11" fillId="3" borderId="0" xfId="0" applyFont="1" applyFill="1"/>
    <xf numFmtId="164" fontId="8" fillId="3" borderId="0" xfId="0" applyNumberFormat="1" applyFont="1" applyFill="1"/>
    <xf numFmtId="0" fontId="12" fillId="3" borderId="0" xfId="0" applyFont="1" applyFill="1" applyAlignment="1">
      <alignment horizontal="left" indent="1"/>
    </xf>
    <xf numFmtId="168" fontId="12" fillId="3" borderId="0" xfId="2" applyNumberFormat="1" applyFont="1" applyFill="1"/>
    <xf numFmtId="164" fontId="3" fillId="3" borderId="0" xfId="2" applyNumberFormat="1" applyFont="1" applyFill="1"/>
    <xf numFmtId="167" fontId="3" fillId="3" borderId="0" xfId="2" applyNumberFormat="1" applyFont="1" applyFill="1"/>
    <xf numFmtId="164" fontId="3" fillId="4" borderId="0" xfId="1" applyNumberFormat="1" applyFont="1" applyFill="1" applyBorder="1"/>
    <xf numFmtId="167" fontId="3" fillId="3" borderId="0" xfId="1" applyNumberFormat="1" applyFont="1" applyFill="1"/>
    <xf numFmtId="168" fontId="3" fillId="3" borderId="0" xfId="2" applyNumberFormat="1" applyFont="1" applyFill="1"/>
    <xf numFmtId="0" fontId="12" fillId="3" borderId="0" xfId="0" applyFont="1" applyFill="1"/>
    <xf numFmtId="168" fontId="3" fillId="3" borderId="0" xfId="0" applyNumberFormat="1" applyFont="1" applyFill="1"/>
    <xf numFmtId="9" fontId="12" fillId="3" borderId="0" xfId="2" applyFont="1" applyFill="1"/>
    <xf numFmtId="0" fontId="12" fillId="3" borderId="0" xfId="0" applyFont="1" applyFill="1" applyAlignment="1">
      <alignment horizontal="left"/>
    </xf>
    <xf numFmtId="164" fontId="5" fillId="0" borderId="4" xfId="1" applyNumberFormat="1" applyFont="1" applyFill="1" applyBorder="1"/>
    <xf numFmtId="164" fontId="3" fillId="0" borderId="0" xfId="1" applyNumberFormat="1" applyFont="1" applyFill="1" applyBorder="1"/>
    <xf numFmtId="0" fontId="3" fillId="3" borderId="0" xfId="0" applyFont="1" applyFill="1" applyAlignment="1">
      <alignment horizontal="left"/>
    </xf>
    <xf numFmtId="168" fontId="5" fillId="3" borderId="4" xfId="2" applyNumberFormat="1" applyFont="1" applyFill="1" applyBorder="1"/>
    <xf numFmtId="168" fontId="5" fillId="3" borderId="0" xfId="2" applyNumberFormat="1" applyFont="1" applyFill="1" applyBorder="1"/>
    <xf numFmtId="169" fontId="3" fillId="3" borderId="0" xfId="0" applyNumberFormat="1" applyFont="1" applyFill="1"/>
    <xf numFmtId="43" fontId="3" fillId="3" borderId="0" xfId="0" applyNumberFormat="1" applyFont="1" applyFill="1"/>
    <xf numFmtId="0" fontId="13" fillId="3" borderId="0" xfId="0" applyFont="1" applyFill="1"/>
    <xf numFmtId="164" fontId="3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8" fontId="5" fillId="3" borderId="0" xfId="2" applyNumberFormat="1" applyFont="1" applyFill="1" applyBorder="1" applyAlignment="1">
      <alignment horizontal="left"/>
    </xf>
    <xf numFmtId="0" fontId="14" fillId="3" borderId="0" xfId="0" applyFont="1" applyFill="1"/>
    <xf numFmtId="0" fontId="15" fillId="3" borderId="0" xfId="0" applyFont="1" applyFill="1"/>
    <xf numFmtId="0" fontId="16" fillId="3" borderId="0" xfId="0" applyFont="1" applyFill="1"/>
    <xf numFmtId="0" fontId="17" fillId="3" borderId="0" xfId="0" applyFont="1" applyFill="1"/>
    <xf numFmtId="0" fontId="18" fillId="3" borderId="0" xfId="0" applyFont="1" applyFill="1"/>
    <xf numFmtId="0" fontId="19" fillId="3" borderId="0" xfId="0" applyFont="1" applyFill="1"/>
    <xf numFmtId="168" fontId="20" fillId="3" borderId="0" xfId="2" applyNumberFormat="1" applyFont="1" applyFill="1" applyAlignment="1">
      <alignment horizontal="center" vertical="center"/>
    </xf>
    <xf numFmtId="0" fontId="0" fillId="2" borderId="0" xfId="0" applyFill="1"/>
    <xf numFmtId="0" fontId="0" fillId="5" borderId="1" xfId="0" applyFill="1" applyBorder="1" applyAlignment="1">
      <alignment horizontal="centerContinuous"/>
    </xf>
    <xf numFmtId="0" fontId="2" fillId="5" borderId="1" xfId="0" applyFont="1" applyFill="1" applyBorder="1" applyAlignment="1">
      <alignment horizontal="centerContinuous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167" fontId="3" fillId="3" borderId="0" xfId="1" applyNumberFormat="1" applyFont="1" applyFill="1" applyAlignment="1">
      <alignment horizontal="right"/>
    </xf>
    <xf numFmtId="166" fontId="3" fillId="3" borderId="0" xfId="0" applyNumberFormat="1" applyFont="1" applyFill="1"/>
    <xf numFmtId="165" fontId="5" fillId="3" borderId="4" xfId="1" applyNumberFormat="1" applyFont="1" applyFill="1" applyBorder="1"/>
    <xf numFmtId="165" fontId="3" fillId="3" borderId="0" xfId="1" applyNumberFormat="1" applyFont="1" applyFill="1"/>
    <xf numFmtId="166" fontId="5" fillId="3" borderId="0" xfId="0" applyNumberFormat="1" applyFont="1" applyFill="1"/>
    <xf numFmtId="166" fontId="5" fillId="3" borderId="4" xfId="0" applyNumberFormat="1" applyFont="1" applyFill="1" applyBorder="1"/>
    <xf numFmtId="3" fontId="7" fillId="3" borderId="0" xfId="0" applyNumberFormat="1" applyFont="1" applyFill="1" applyAlignment="1">
      <alignment vertical="center" wrapText="1"/>
    </xf>
    <xf numFmtId="0" fontId="5" fillId="3" borderId="4" xfId="0" applyFont="1" applyFill="1" applyBorder="1" applyAlignment="1">
      <alignment horizontal="right"/>
    </xf>
    <xf numFmtId="43" fontId="3" fillId="3" borderId="0" xfId="1" applyFont="1" applyFill="1"/>
    <xf numFmtId="1" fontId="3" fillId="0" borderId="0" xfId="1" applyNumberFormat="1" applyFont="1"/>
    <xf numFmtId="0" fontId="11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centerContinuous" vertical="top" wrapText="1"/>
    </xf>
    <xf numFmtId="166" fontId="3" fillId="3" borderId="0" xfId="0" applyNumberFormat="1" applyFont="1" applyFill="1" applyAlignment="1">
      <alignment horizontal="center"/>
    </xf>
    <xf numFmtId="164" fontId="5" fillId="3" borderId="0" xfId="1" applyNumberFormat="1" applyFont="1" applyFill="1" applyBorder="1" applyAlignment="1">
      <alignment horizontal="center" vertical="top" wrapText="1"/>
    </xf>
    <xf numFmtId="164" fontId="3" fillId="0" borderId="0" xfId="1" applyNumberFormat="1" applyFont="1" applyFill="1"/>
    <xf numFmtId="3" fontId="5" fillId="3" borderId="0" xfId="0" applyNumberFormat="1" applyFont="1" applyFill="1"/>
    <xf numFmtId="168" fontId="0" fillId="3" borderId="0" xfId="2" applyNumberFormat="1" applyFont="1" applyFill="1"/>
    <xf numFmtId="166" fontId="3" fillId="0" borderId="0" xfId="1" applyNumberFormat="1" applyFont="1" applyFill="1"/>
    <xf numFmtId="166" fontId="5" fillId="0" borderId="0" xfId="0" applyNumberFormat="1" applyFont="1"/>
    <xf numFmtId="165" fontId="5" fillId="0" borderId="4" xfId="1" applyNumberFormat="1" applyFont="1" applyFill="1" applyBorder="1"/>
    <xf numFmtId="43" fontId="3" fillId="0" borderId="0" xfId="1" applyFont="1" applyFill="1"/>
    <xf numFmtId="43" fontId="0" fillId="3" borderId="0" xfId="1" applyFont="1" applyFill="1"/>
    <xf numFmtId="168" fontId="19" fillId="3" borderId="0" xfId="2" applyNumberFormat="1" applyFont="1" applyFill="1"/>
    <xf numFmtId="168" fontId="0" fillId="5" borderId="6" xfId="2" applyNumberFormat="1" applyFont="1" applyFill="1" applyBorder="1"/>
    <xf numFmtId="168" fontId="0" fillId="5" borderId="0" xfId="2" applyNumberFormat="1" applyFont="1" applyFill="1"/>
    <xf numFmtId="164" fontId="3" fillId="0" borderId="0" xfId="1" applyNumberFormat="1" applyFont="1" applyAlignment="1">
      <alignment horizontal="left" indent="2"/>
    </xf>
    <xf numFmtId="3" fontId="7" fillId="3" borderId="0" xfId="0" applyNumberFormat="1" applyFont="1" applyFill="1" applyAlignment="1">
      <alignment horizontal="left" vertical="center" wrapText="1" indent="2"/>
    </xf>
    <xf numFmtId="0" fontId="3" fillId="0" borderId="0" xfId="0" applyFont="1" applyAlignment="1">
      <alignment horizontal="left" indent="2"/>
    </xf>
    <xf numFmtId="0" fontId="7" fillId="0" borderId="0" xfId="0" applyFont="1" applyAlignment="1">
      <alignment horizontal="left" vertical="center" wrapText="1" indent="3"/>
    </xf>
    <xf numFmtId="164" fontId="5" fillId="0" borderId="4" xfId="1" applyNumberFormat="1" applyFont="1" applyFill="1" applyBorder="1" applyAlignment="1">
      <alignment horizontal="left" indent="2"/>
    </xf>
    <xf numFmtId="164" fontId="3" fillId="4" borderId="0" xfId="1" applyNumberFormat="1" applyFont="1" applyFill="1"/>
    <xf numFmtId="164" fontId="3" fillId="4" borderId="0" xfId="0" applyNumberFormat="1" applyFont="1" applyFill="1"/>
    <xf numFmtId="164" fontId="3" fillId="4" borderId="0" xfId="2" applyNumberFormat="1" applyFont="1" applyFill="1"/>
    <xf numFmtId="165" fontId="3" fillId="0" borderId="0" xfId="1" applyNumberFormat="1" applyFont="1" applyFill="1"/>
    <xf numFmtId="165" fontId="3" fillId="0" borderId="0" xfId="1" applyNumberFormat="1" applyFont="1"/>
    <xf numFmtId="3" fontId="7" fillId="3" borderId="0" xfId="0" applyNumberFormat="1" applyFont="1" applyFill="1"/>
    <xf numFmtId="165" fontId="3" fillId="0" borderId="0" xfId="1" applyNumberFormat="1" applyFont="1" applyFill="1" applyBorder="1"/>
    <xf numFmtId="168" fontId="3" fillId="0" borderId="0" xfId="0" applyNumberFormat="1" applyFont="1"/>
    <xf numFmtId="166" fontId="5" fillId="0" borderId="4" xfId="1" applyNumberFormat="1" applyFont="1" applyFill="1" applyBorder="1"/>
    <xf numFmtId="1" fontId="3" fillId="0" borderId="0" xfId="0" applyNumberFormat="1" applyFont="1"/>
    <xf numFmtId="165" fontId="5" fillId="3" borderId="0" xfId="1" applyNumberFormat="1" applyFont="1" applyFill="1" applyBorder="1"/>
    <xf numFmtId="164" fontId="5" fillId="0" borderId="0" xfId="1" applyNumberFormat="1" applyFont="1" applyFill="1"/>
    <xf numFmtId="164" fontId="5" fillId="0" borderId="0" xfId="1" applyNumberFormat="1" applyFont="1"/>
    <xf numFmtId="3" fontId="6" fillId="3" borderId="0" xfId="0" applyNumberFormat="1" applyFont="1" applyFill="1" applyAlignment="1">
      <alignment vertical="center" wrapText="1"/>
    </xf>
    <xf numFmtId="0" fontId="5" fillId="0" borderId="0" xfId="0" applyFont="1"/>
    <xf numFmtId="164" fontId="3" fillId="0" borderId="0" xfId="1" applyNumberFormat="1" applyFont="1" applyAlignment="1">
      <alignment horizontal="right"/>
    </xf>
    <xf numFmtId="3" fontId="0" fillId="3" borderId="0" xfId="0" applyNumberFormat="1" applyFill="1"/>
    <xf numFmtId="165" fontId="3" fillId="4" borderId="0" xfId="1" applyNumberFormat="1" applyFont="1" applyFill="1"/>
    <xf numFmtId="164" fontId="3" fillId="0" borderId="0" xfId="2" applyNumberFormat="1" applyFont="1" applyFill="1"/>
    <xf numFmtId="168" fontId="3" fillId="0" borderId="0" xfId="2" applyNumberFormat="1" applyFont="1" applyFill="1"/>
    <xf numFmtId="168" fontId="12" fillId="3" borderId="0" xfId="2" applyNumberFormat="1" applyFont="1" applyFill="1" applyBorder="1"/>
    <xf numFmtId="9" fontId="3" fillId="3" borderId="0" xfId="1" applyNumberFormat="1" applyFont="1" applyFill="1"/>
    <xf numFmtId="168" fontId="5" fillId="3" borderId="4" xfId="1" applyNumberFormat="1" applyFont="1" applyFill="1" applyBorder="1"/>
    <xf numFmtId="43" fontId="8" fillId="3" borderId="0" xfId="0" applyNumberFormat="1" applyFont="1" applyFill="1"/>
    <xf numFmtId="0" fontId="3" fillId="2" borderId="0" xfId="0" applyFont="1" applyFill="1"/>
    <xf numFmtId="164" fontId="22" fillId="3" borderId="4" xfId="1" applyNumberFormat="1" applyFont="1" applyFill="1" applyBorder="1"/>
    <xf numFmtId="3" fontId="7" fillId="0" borderId="0" xfId="0" applyNumberFormat="1" applyFont="1" applyAlignment="1">
      <alignment vertical="center" wrapText="1"/>
    </xf>
    <xf numFmtId="164" fontId="3" fillId="0" borderId="0" xfId="1" applyNumberFormat="1" applyFont="1" applyFill="1" applyAlignment="1">
      <alignment horizontal="right"/>
    </xf>
  </cellXfs>
  <cellStyles count="4">
    <cellStyle name="Normal" xfId="0" builtinId="0"/>
    <cellStyle name="Normal 2" xfId="3" xr:uid="{73958773-25F0-4D20-9439-809C0EB04A3C}"/>
    <cellStyle name="Porcentagem" xfId="2" builtinId="5"/>
    <cellStyle name="Vírgula" xfId="1" builtinId="3"/>
  </cellStyles>
  <dxfs count="0"/>
  <tableStyles count="0" defaultTableStyle="TableStyleMedium2" defaultPivotStyle="PivotStyleLight16"/>
  <colors>
    <mruColors>
      <color rgb="FF33B3B1"/>
      <color rgb="FF003366"/>
      <color rgb="FF001E62"/>
      <color rgb="FF005CB8"/>
      <color rgb="FFB127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Ubuntu" panose="020B0504030602030204" pitchFamily="34" charset="0"/>
                <a:ea typeface="+mn-ea"/>
                <a:cs typeface="+mn-cs"/>
              </a:defRPr>
            </a:pPr>
            <a:r>
              <a:rPr lang="pt-BR" sz="1050">
                <a:latin typeface="Ubuntu" panose="020B0504030602030204" pitchFamily="34" charset="0"/>
              </a:rPr>
              <a:t>Receita</a:t>
            </a:r>
            <a:r>
              <a:rPr lang="pt-BR" sz="1050" baseline="0">
                <a:latin typeface="Ubuntu" panose="020B0504030602030204" pitchFamily="34" charset="0"/>
              </a:rPr>
              <a:t> Líquida</a:t>
            </a:r>
          </a:p>
          <a:p>
            <a:pPr>
              <a:defRPr sz="1050">
                <a:latin typeface="Ubuntu" panose="020B0504030602030204" pitchFamily="34" charset="0"/>
              </a:defRPr>
            </a:pPr>
            <a:r>
              <a:rPr lang="pt-BR" sz="1050" baseline="0">
                <a:latin typeface="Ubuntu" panose="020B0504030602030204" pitchFamily="34" charset="0"/>
              </a:rPr>
              <a:t>(R$ milhões)</a:t>
            </a:r>
            <a:endParaRPr lang="pt-BR" sz="1050">
              <a:latin typeface="Ubuntu" panose="020B050403060203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Ubuntu" panose="020B0504030602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1E62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1E62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('Dados Financeiros'!$G$2:$P$2,'Dados Financeiros'!$Q$2,'Dados Financeiros'!$AH$2,'Dados Financeiros'!$AI$2)</c:f>
              <c:strCache>
                <c:ptCount val="1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1">
                  <c:v>6M25</c:v>
                </c:pt>
                <c:pt idx="12">
                  <c:v>6M26</c:v>
                </c:pt>
              </c:strCache>
            </c:strRef>
          </c:cat>
          <c:val>
            <c:numRef>
              <c:f>('Dados Financeiros'!$G$20:$P$20,'Dados Financeiros'!$Q$20,'Dados Financeiros'!$AH$20,'Dados Financeiros'!$AI$20)</c:f>
              <c:numCache>
                <c:formatCode>_-* #,##0_-;\-* #,##0_-;_-* "-"??_-;_-@_-</c:formatCode>
                <c:ptCount val="13"/>
                <c:pt idx="0">
                  <c:v>1140.1019999999999</c:v>
                </c:pt>
                <c:pt idx="1">
                  <c:v>1326.0972490200002</c:v>
                </c:pt>
                <c:pt idx="2">
                  <c:v>1921.5709900000002</c:v>
                </c:pt>
                <c:pt idx="3">
                  <c:v>2239.5709999999999</c:v>
                </c:pt>
                <c:pt idx="4">
                  <c:v>3110.4080992899999</c:v>
                </c:pt>
                <c:pt idx="5">
                  <c:v>5339.3171000000002</c:v>
                </c:pt>
                <c:pt idx="6">
                  <c:v>6885.8393361300004</c:v>
                </c:pt>
                <c:pt idx="7">
                  <c:v>8998.9848835725734</c:v>
                </c:pt>
                <c:pt idx="8">
                  <c:v>12825.77130673323</c:v>
                </c:pt>
                <c:pt idx="9">
                  <c:v>16423.694065070064</c:v>
                </c:pt>
                <c:pt idx="11">
                  <c:v>7061.985065070061</c:v>
                </c:pt>
                <c:pt idx="12">
                  <c:v>8907.3475525164613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62-4E9D-A290-43DCC487B6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543015672"/>
        <c:axId val="1543009112"/>
      </c:barChart>
      <c:catAx>
        <c:axId val="1543015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543009112"/>
        <c:crosses val="autoZero"/>
        <c:auto val="1"/>
        <c:lblAlgn val="ctr"/>
        <c:lblOffset val="100"/>
        <c:noMultiLvlLbl val="0"/>
      </c:catAx>
      <c:valAx>
        <c:axId val="1543009112"/>
        <c:scaling>
          <c:orientation val="minMax"/>
        </c:scaling>
        <c:delete val="0"/>
        <c:axPos val="l"/>
        <c:numFmt formatCode="_-* #,##0_-;\-* #,##0_-;_-* &quot;-&quot;??_-;_-@_-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543015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Ubuntu" panose="020B0504030602030204" pitchFamily="34" charset="0"/>
                <a:ea typeface="+mn-ea"/>
                <a:cs typeface="+mn-cs"/>
              </a:defRPr>
            </a:pPr>
            <a:r>
              <a:rPr lang="en-US" sz="1050">
                <a:latin typeface="Ubuntu" panose="020B0504030602030204" pitchFamily="34" charset="0"/>
              </a:rPr>
              <a:t>Receita Líquida</a:t>
            </a:r>
          </a:p>
          <a:p>
            <a:pPr>
              <a:defRPr sz="1050">
                <a:latin typeface="Ubuntu" panose="020B0504030602030204" pitchFamily="34" charset="0"/>
              </a:defRPr>
            </a:pPr>
            <a:r>
              <a:rPr lang="en-US" sz="1050">
                <a:latin typeface="Ubuntu" panose="020B0504030602030204" pitchFamily="34" charset="0"/>
              </a:rPr>
              <a:t>(R$ milhões)</a:t>
            </a:r>
          </a:p>
        </c:rich>
      </c:tx>
      <c:layout>
        <c:manualLayout>
          <c:xMode val="edge"/>
          <c:yMode val="edge"/>
          <c:x val="0.38770365461551676"/>
          <c:y val="3.73084610259826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Ubuntu" panose="020B0504030602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3.8401597045190909E-2"/>
          <c:y val="0.25625061204197286"/>
          <c:w val="0.92944444444444441"/>
          <c:h val="0.54258477011494244"/>
        </c:manualLayout>
      </c:layout>
      <c:barChart>
        <c:barDir val="col"/>
        <c:grouping val="stacked"/>
        <c:varyColors val="0"/>
        <c:ser>
          <c:idx val="0"/>
          <c:order val="0"/>
          <c:tx>
            <c:v>Insumos</c:v>
          </c:tx>
          <c:spPr>
            <a:solidFill>
              <a:srgbClr val="001E62"/>
            </a:solidFill>
            <a:ln>
              <a:noFill/>
            </a:ln>
            <a:effectLst/>
          </c:spPr>
          <c:invertIfNegative val="0"/>
          <c:cat>
            <c:strRef>
              <c:f>('Dados Financeiros'!$G$2:$P$2,'Dados Financeiros'!$Q$2,'Dados Financeiros'!$AH$2,'Dados Financeiros'!$AI$2)</c:f>
              <c:strCache>
                <c:ptCount val="1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1">
                  <c:v>6M25</c:v>
                </c:pt>
                <c:pt idx="12">
                  <c:v>6M26</c:v>
                </c:pt>
              </c:strCache>
            </c:strRef>
          </c:cat>
          <c:val>
            <c:numRef>
              <c:f>('Dados Financeiros'!$G$23:$P$23,'Dados Financeiros'!$Q$23,'Dados Financeiros'!$AH$23,'Dados Financeiros'!$AI$23)</c:f>
              <c:numCache>
                <c:formatCode>_-* #,##0_-;\-* #,##0_-;_-* "-"??_-;_-@_-</c:formatCode>
                <c:ptCount val="13"/>
                <c:pt idx="0">
                  <c:v>371.49599999999998</c:v>
                </c:pt>
                <c:pt idx="1">
                  <c:v>416.32348943</c:v>
                </c:pt>
                <c:pt idx="2">
                  <c:v>611.80498999999998</c:v>
                </c:pt>
                <c:pt idx="3">
                  <c:v>722.375</c:v>
                </c:pt>
                <c:pt idx="4">
                  <c:v>918.30234140999983</c:v>
                </c:pt>
                <c:pt idx="5">
                  <c:v>1534.1161000000002</c:v>
                </c:pt>
                <c:pt idx="6">
                  <c:v>2535.3969999999999</c:v>
                </c:pt>
                <c:pt idx="7">
                  <c:v>2543.5493381800002</c:v>
                </c:pt>
                <c:pt idx="8">
                  <c:v>2819.5838466599998</c:v>
                </c:pt>
                <c:pt idx="9">
                  <c:v>3409.64045257</c:v>
                </c:pt>
                <c:pt idx="11">
                  <c:v>1017.6234525700002</c:v>
                </c:pt>
                <c:pt idx="12">
                  <c:v>1313.9370022199996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96-47C5-AF19-5F665F40B120}"/>
            </c:ext>
          </c:extLst>
        </c:ser>
        <c:ser>
          <c:idx val="1"/>
          <c:order val="1"/>
          <c:tx>
            <c:v>Grãos</c:v>
          </c:tx>
          <c:spPr>
            <a:solidFill>
              <a:srgbClr val="33B3B1"/>
            </a:solidFill>
            <a:ln>
              <a:noFill/>
            </a:ln>
            <a:effectLst/>
          </c:spPr>
          <c:invertIfNegative val="0"/>
          <c:cat>
            <c:strRef>
              <c:f>('Dados Financeiros'!$G$2:$P$2,'Dados Financeiros'!$Q$2,'Dados Financeiros'!$AH$2,'Dados Financeiros'!$AI$2)</c:f>
              <c:strCache>
                <c:ptCount val="1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1">
                  <c:v>6M25</c:v>
                </c:pt>
                <c:pt idx="12">
                  <c:v>6M26</c:v>
                </c:pt>
              </c:strCache>
            </c:strRef>
          </c:cat>
          <c:val>
            <c:numRef>
              <c:f>('Dados Financeiros'!$G$28:$P$28,'Dados Financeiros'!$Q$28,'Dados Financeiros'!$AH$28,'Dados Financeiros'!$AI$28)</c:f>
              <c:numCache>
                <c:formatCode>_-* #,##0_-;\-* #,##0_-;_-* "-"??_-;_-@_-</c:formatCode>
                <c:ptCount val="13"/>
                <c:pt idx="0">
                  <c:v>329.476</c:v>
                </c:pt>
                <c:pt idx="1">
                  <c:v>400.80975959</c:v>
                </c:pt>
                <c:pt idx="2">
                  <c:v>442.238</c:v>
                </c:pt>
                <c:pt idx="3">
                  <c:v>454.63699999999994</c:v>
                </c:pt>
                <c:pt idx="4">
                  <c:v>486.15466229000003</c:v>
                </c:pt>
                <c:pt idx="5">
                  <c:v>1412.2960000000003</c:v>
                </c:pt>
                <c:pt idx="6">
                  <c:v>1348.0500000000002</c:v>
                </c:pt>
                <c:pt idx="7">
                  <c:v>1766.2321814242248</c:v>
                </c:pt>
                <c:pt idx="8">
                  <c:v>3257.4208189985538</c:v>
                </c:pt>
                <c:pt idx="9">
                  <c:v>5235.0825402740693</c:v>
                </c:pt>
                <c:pt idx="11">
                  <c:v>2298.4835402740691</c:v>
                </c:pt>
                <c:pt idx="12">
                  <c:v>3669.2317584872062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96-47C5-AF19-5F665F40B120}"/>
            </c:ext>
          </c:extLst>
        </c:ser>
        <c:ser>
          <c:idx val="2"/>
          <c:order val="2"/>
          <c:tx>
            <c:v>Indústria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('Dados Financeiros'!$G$2:$P$2,'Dados Financeiros'!$Q$2,'Dados Financeiros'!$AH$2,'Dados Financeiros'!$AI$2)</c:f>
              <c:strCache>
                <c:ptCount val="1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1">
                  <c:v>6M25</c:v>
                </c:pt>
                <c:pt idx="12">
                  <c:v>6M26</c:v>
                </c:pt>
              </c:strCache>
            </c:strRef>
          </c:cat>
          <c:val>
            <c:numRef>
              <c:f>('Dados Financeiros'!$G$33:$P$33,'Dados Financeiros'!$Q$33,'Dados Financeiros'!$AH$33,'Dados Financeiros'!$AI$33)</c:f>
              <c:numCache>
                <c:formatCode>_-* #,##0_-;\-* #,##0_-;_-* "-"??_-;_-@_-</c:formatCode>
                <c:ptCount val="13"/>
                <c:pt idx="0">
                  <c:v>439.13</c:v>
                </c:pt>
                <c:pt idx="1">
                  <c:v>508.96400000000006</c:v>
                </c:pt>
                <c:pt idx="2">
                  <c:v>867.52800000000013</c:v>
                </c:pt>
                <c:pt idx="3">
                  <c:v>1062.559</c:v>
                </c:pt>
                <c:pt idx="4">
                  <c:v>1705.95109559</c:v>
                </c:pt>
                <c:pt idx="5">
                  <c:v>2392.9050000000002</c:v>
                </c:pt>
                <c:pt idx="6">
                  <c:v>3002.3923361300003</c:v>
                </c:pt>
                <c:pt idx="7">
                  <c:v>4689.2033639683477</c:v>
                </c:pt>
                <c:pt idx="8">
                  <c:v>6748.7666410746788</c:v>
                </c:pt>
                <c:pt idx="9">
                  <c:v>7778.9710722259915</c:v>
                </c:pt>
                <c:pt idx="11">
                  <c:v>3745.8780722259912</c:v>
                </c:pt>
                <c:pt idx="12">
                  <c:v>3924.178791809255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96-47C5-AF19-5F665F40B120}"/>
            </c:ext>
          </c:extLst>
        </c:ser>
        <c:ser>
          <c:idx val="4"/>
          <c:order val="3"/>
          <c:spPr>
            <a:noFill/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('Dados Financeiros'!$G$2:$P$2,'Dados Financeiros'!$Q$2,'Dados Financeiros'!$AH$2,'Dados Financeiros'!$AI$2)</c:f>
              <c:strCache>
                <c:ptCount val="1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1">
                  <c:v>6M25</c:v>
                </c:pt>
                <c:pt idx="12">
                  <c:v>6M26</c:v>
                </c:pt>
              </c:strCache>
            </c:strRef>
          </c:cat>
          <c:val>
            <c:numRef>
              <c:f>('Dados Financeiros'!$G$20:$P$20,'Dados Financeiros'!$Q$20,'Dados Financeiros'!$AH$20,'Dados Financeiros'!$AI$20)</c:f>
              <c:numCache>
                <c:formatCode>_-* #,##0_-;\-* #,##0_-;_-* "-"??_-;_-@_-</c:formatCode>
                <c:ptCount val="13"/>
                <c:pt idx="0">
                  <c:v>1140.1019999999999</c:v>
                </c:pt>
                <c:pt idx="1">
                  <c:v>1326.0972490200002</c:v>
                </c:pt>
                <c:pt idx="2">
                  <c:v>1921.5709900000002</c:v>
                </c:pt>
                <c:pt idx="3">
                  <c:v>2239.5709999999999</c:v>
                </c:pt>
                <c:pt idx="4">
                  <c:v>3110.4080992899999</c:v>
                </c:pt>
                <c:pt idx="5">
                  <c:v>5339.3171000000002</c:v>
                </c:pt>
                <c:pt idx="6">
                  <c:v>6885.8393361300004</c:v>
                </c:pt>
                <c:pt idx="7">
                  <c:v>8998.9848835725734</c:v>
                </c:pt>
                <c:pt idx="8">
                  <c:v>12825.77130673323</c:v>
                </c:pt>
                <c:pt idx="9">
                  <c:v>16423.694065070064</c:v>
                </c:pt>
                <c:pt idx="11">
                  <c:v>7061.985065070061</c:v>
                </c:pt>
                <c:pt idx="12">
                  <c:v>8907.3475525164613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896-47C5-AF19-5F665F40B1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77108704"/>
        <c:axId val="1177108376"/>
      </c:barChart>
      <c:catAx>
        <c:axId val="1177108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77108376"/>
        <c:crosses val="autoZero"/>
        <c:auto val="1"/>
        <c:lblAlgn val="ctr"/>
        <c:lblOffset val="100"/>
        <c:noMultiLvlLbl val="0"/>
      </c:catAx>
      <c:valAx>
        <c:axId val="1177108376"/>
        <c:scaling>
          <c:orientation val="minMax"/>
          <c:max val="17000"/>
          <c:min val="0"/>
        </c:scaling>
        <c:delete val="0"/>
        <c:axPos val="l"/>
        <c:numFmt formatCode="_-* #,##0_-;\-* #,##0_-;_-* &quot;-&quot;??_-;_-@_-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77108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3"/>
        <c:delete val="1"/>
      </c:legendEntry>
      <c:layout>
        <c:manualLayout>
          <c:xMode val="edge"/>
          <c:yMode val="edge"/>
          <c:x val="0.28786919191919191"/>
          <c:y val="0.92266954022988512"/>
          <c:w val="0.48352550505050507"/>
          <c:h val="7.14732124693432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Ubuntu" panose="020B0504030602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bg1"/>
                </a:solidFill>
                <a:latin typeface="Ubuntu" panose="020B0504030602030204" pitchFamily="34" charset="0"/>
                <a:ea typeface="+mn-ea"/>
                <a:cs typeface="+mn-cs"/>
              </a:defRPr>
            </a:pPr>
            <a:r>
              <a:rPr lang="en-US" sz="1050">
                <a:solidFill>
                  <a:schemeClr val="bg1"/>
                </a:solidFill>
                <a:latin typeface="Ubuntu" panose="020B0504030602030204" pitchFamily="34" charset="0"/>
              </a:rPr>
              <a:t>Lucro</a:t>
            </a:r>
            <a:r>
              <a:rPr lang="en-US" sz="1050" baseline="0">
                <a:solidFill>
                  <a:schemeClr val="bg1"/>
                </a:solidFill>
                <a:latin typeface="Ubuntu" panose="020B0504030602030204" pitchFamily="34" charset="0"/>
              </a:rPr>
              <a:t> Bruto Ajustado c/ Hedge e Margem</a:t>
            </a:r>
          </a:p>
          <a:p>
            <a:pPr>
              <a:defRPr sz="1050" b="0" i="0" u="none" strike="noStrike" kern="1200" spc="0" baseline="0">
                <a:solidFill>
                  <a:schemeClr val="bg1"/>
                </a:solidFill>
                <a:latin typeface="Ubuntu" panose="020B0504030602030204" pitchFamily="34" charset="0"/>
                <a:ea typeface="+mn-ea"/>
                <a:cs typeface="+mn-cs"/>
              </a:defRPr>
            </a:pPr>
            <a:r>
              <a:rPr lang="en-US" sz="1050">
                <a:solidFill>
                  <a:schemeClr val="bg1"/>
                </a:solidFill>
                <a:latin typeface="Ubuntu" panose="020B0504030602030204" pitchFamily="34" charset="0"/>
              </a:rPr>
              <a:t>(R$ milhões)</a:t>
            </a:r>
          </a:p>
        </c:rich>
      </c:tx>
      <c:layout>
        <c:manualLayout>
          <c:xMode val="edge"/>
          <c:yMode val="edge"/>
          <c:x val="0.25268926383997459"/>
          <c:y val="3.006751858052934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3.1110286947078951E-2"/>
          <c:y val="0.28113458509714356"/>
          <c:w val="0.93155736871642636"/>
          <c:h val="0.57104503028226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1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('Dados Financeiros'!$G$2:$P$2,'Dados Financeiros'!$Q$2,'Dados Financeiros'!$AH$2,'Dados Financeiros'!$AI$2)</c:f>
              <c:strCache>
                <c:ptCount val="1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1">
                  <c:v>6M25</c:v>
                </c:pt>
                <c:pt idx="12">
                  <c:v>6M26</c:v>
                </c:pt>
              </c:strCache>
            </c:strRef>
          </c:cat>
          <c:val>
            <c:numRef>
              <c:f>('Dados Financeiros'!$G$64:$P$64,'Dados Financeiros'!$Q$64,'Dados Financeiros'!$AH$64,'Dados Financeiros'!$AI$64)</c:f>
              <c:numCache>
                <c:formatCode>_-* #,##0_-;\-* #,##0_-;_-* "-"??_-;_-@_-</c:formatCode>
                <c:ptCount val="13"/>
                <c:pt idx="0">
                  <c:v>173.95431773000001</c:v>
                </c:pt>
                <c:pt idx="1">
                  <c:v>183.27210163999996</c:v>
                </c:pt>
                <c:pt idx="2">
                  <c:v>367.89299999999997</c:v>
                </c:pt>
                <c:pt idx="3">
                  <c:v>363.30699999999996</c:v>
                </c:pt>
                <c:pt idx="4">
                  <c:v>579.38404269329999</c:v>
                </c:pt>
                <c:pt idx="5">
                  <c:v>814.92499999999995</c:v>
                </c:pt>
                <c:pt idx="6">
                  <c:v>1090.9989999999998</c:v>
                </c:pt>
                <c:pt idx="7">
                  <c:v>1220.0162867925726</c:v>
                </c:pt>
                <c:pt idx="8">
                  <c:v>2192.7957457114762</c:v>
                </c:pt>
                <c:pt idx="9">
                  <c:v>2850.6505346461722</c:v>
                </c:pt>
                <c:pt idx="11">
                  <c:v>1159.2795346461719</c:v>
                </c:pt>
                <c:pt idx="12">
                  <c:v>1576.0681845865283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60-47A1-84E9-D1777744A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177108704"/>
        <c:axId val="1177108376"/>
      </c:barChart>
      <c:lineChart>
        <c:grouping val="standard"/>
        <c:varyColors val="0"/>
        <c:ser>
          <c:idx val="1"/>
          <c:order val="1"/>
          <c:spPr>
            <a:ln w="28575">
              <a:solidFill>
                <a:srgbClr val="33B3B1"/>
              </a:solidFill>
            </a:ln>
          </c:spPr>
          <c:marker>
            <c:symbol val="none"/>
          </c:marker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rgbClr val="33B3B1"/>
                    </a:solidFill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'Dados Financeiros'!$G$2:$P$2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('Dados Financeiros'!$G$72:$P$72,'Dados Financeiros'!$Q$72,'Dados Financeiros'!$AH$72,'Dados Financeiros'!$AI$72)</c:f>
              <c:numCache>
                <c:formatCode>0.0%</c:formatCode>
                <c:ptCount val="13"/>
                <c:pt idx="0">
                  <c:v>0.15257785507787902</c:v>
                </c:pt>
                <c:pt idx="1">
                  <c:v>0.13820411872163973</c:v>
                </c:pt>
                <c:pt idx="2">
                  <c:v>0.19145428501707343</c:v>
                </c:pt>
                <c:pt idx="3">
                  <c:v>0.16222169335109268</c:v>
                </c:pt>
                <c:pt idx="4">
                  <c:v>0.18627267683155585</c:v>
                </c:pt>
                <c:pt idx="5">
                  <c:v>0.15262719646300835</c:v>
                </c:pt>
                <c:pt idx="6">
                  <c:v>0.15844096075194897</c:v>
                </c:pt>
                <c:pt idx="7">
                  <c:v>0.13557265653592579</c:v>
                </c:pt>
                <c:pt idx="8">
                  <c:v>0.17096794362459197</c:v>
                </c:pt>
                <c:pt idx="9">
                  <c:v>0.17356938843064179</c:v>
                </c:pt>
                <c:pt idx="11">
                  <c:v>0.16415774374547915</c:v>
                </c:pt>
                <c:pt idx="12">
                  <c:v>0.1769402367308846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960-47A1-84E9-D1777744A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6103736"/>
        <c:axId val="1096101440"/>
      </c:lineChart>
      <c:catAx>
        <c:axId val="1177108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77108376"/>
        <c:crosses val="autoZero"/>
        <c:auto val="1"/>
        <c:lblAlgn val="ctr"/>
        <c:lblOffset val="100"/>
        <c:noMultiLvlLbl val="0"/>
      </c:catAx>
      <c:valAx>
        <c:axId val="1177108376"/>
        <c:scaling>
          <c:orientation val="minMax"/>
          <c:max val="4500"/>
          <c:min val="0"/>
        </c:scaling>
        <c:delete val="0"/>
        <c:axPos val="l"/>
        <c:numFmt formatCode="_-* #,##0_-;\-* #,##0_-;_-* &quot;-&quot;??_-;_-@_-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77108704"/>
        <c:crosses val="autoZero"/>
        <c:crossBetween val="between"/>
      </c:valAx>
      <c:valAx>
        <c:axId val="1096101440"/>
        <c:scaling>
          <c:orientation val="minMax"/>
          <c:max val="0.22000000000000003"/>
          <c:min val="-8.0000000000000016E-2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6103736"/>
        <c:crosses val="max"/>
        <c:crossBetween val="between"/>
      </c:valAx>
      <c:catAx>
        <c:axId val="1096103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61014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bg1"/>
                </a:solidFill>
                <a:latin typeface="Ubuntu" panose="020B0504030602030204" pitchFamily="34" charset="0"/>
                <a:ea typeface="+mn-ea"/>
                <a:cs typeface="+mn-cs"/>
              </a:defRPr>
            </a:pPr>
            <a:r>
              <a:rPr lang="en-US" sz="1050" baseline="0">
                <a:solidFill>
                  <a:schemeClr val="bg1"/>
                </a:solidFill>
                <a:latin typeface="Ubuntu" panose="020B0504030602030204" pitchFamily="34" charset="0"/>
              </a:rPr>
              <a:t>EBITDA Ajustado c/ Hedge e Margem</a:t>
            </a:r>
          </a:p>
          <a:p>
            <a:pPr>
              <a:defRPr sz="1050">
                <a:solidFill>
                  <a:schemeClr val="bg1"/>
                </a:solidFill>
                <a:latin typeface="Ubuntu" panose="020B0504030602030204" pitchFamily="34" charset="0"/>
              </a:defRPr>
            </a:pPr>
            <a:r>
              <a:rPr lang="en-US" sz="1050">
                <a:solidFill>
                  <a:schemeClr val="bg1"/>
                </a:solidFill>
                <a:latin typeface="Ubuntu" panose="020B0504030602030204" pitchFamily="34" charset="0"/>
              </a:rPr>
              <a:t>(R$ milhões)</a:t>
            </a:r>
          </a:p>
        </c:rich>
      </c:tx>
      <c:layout>
        <c:manualLayout>
          <c:xMode val="edge"/>
          <c:yMode val="edge"/>
          <c:x val="0.31802077865266848"/>
          <c:y val="5.5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bg1"/>
              </a:solidFill>
              <a:latin typeface="Ubuntu" panose="020B0504030602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('Dados Financeiros'!$G$2:$P$2,'Dados Financeiros'!$Q$2,'Dados Financeiros'!$AH$2,'Dados Financeiros'!$AI$2)</c:f>
              <c:strCache>
                <c:ptCount val="1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1">
                  <c:v>6M25</c:v>
                </c:pt>
                <c:pt idx="12">
                  <c:v>6M26</c:v>
                </c:pt>
              </c:strCache>
            </c:strRef>
          </c:cat>
          <c:val>
            <c:numRef>
              <c:f>('Dados Financeiros'!$G$87:$P$87,'Dados Financeiros'!$Q$87,'Dados Financeiros'!$AH$87,'Dados Financeiros'!$AI$87)</c:f>
              <c:numCache>
                <c:formatCode>_-* #,##0_-;\-* #,##0_-;_-* "-"??_-;_-@_-</c:formatCode>
                <c:ptCount val="13"/>
                <c:pt idx="0">
                  <c:v>94.334000000000003</c:v>
                </c:pt>
                <c:pt idx="1">
                  <c:v>76.78</c:v>
                </c:pt>
                <c:pt idx="2">
                  <c:v>223.453</c:v>
                </c:pt>
                <c:pt idx="3">
                  <c:v>189.934</c:v>
                </c:pt>
                <c:pt idx="4">
                  <c:v>401.61400000000003</c:v>
                </c:pt>
                <c:pt idx="5">
                  <c:v>494.92899999999997</c:v>
                </c:pt>
                <c:pt idx="6">
                  <c:v>623.09699999999998</c:v>
                </c:pt>
                <c:pt idx="7">
                  <c:v>473.29699999999997</c:v>
                </c:pt>
                <c:pt idx="8">
                  <c:v>1001.9899124400002</c:v>
                </c:pt>
                <c:pt idx="9">
                  <c:v>1024.6559999999999</c:v>
                </c:pt>
                <c:pt idx="11">
                  <c:v>419.12500000000006</c:v>
                </c:pt>
                <c:pt idx="12">
                  <c:v>472.93299999999999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61-4AA5-9A06-7D73FA82D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177108704"/>
        <c:axId val="1177108376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rgbClr val="33B3B1"/>
              </a:solidFill>
              <a:round/>
            </a:ln>
            <a:effectLst/>
          </c:spPr>
          <c:marker>
            <c:symbol val="none"/>
          </c:marker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33B3B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('Dados Financeiros'!$G$2:$P$2,'Dados Financeiros'!$Q$2,'Dados Financeiros'!$BN$2,'Dados Financeiros'!$BR$2)</c:f>
              <c:strCache>
                <c:ptCount val="1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1">
                  <c:v>2T25</c:v>
                </c:pt>
                <c:pt idx="12">
                  <c:v>2T26</c:v>
                </c:pt>
              </c:strCache>
            </c:strRef>
          </c:cat>
          <c:val>
            <c:numRef>
              <c:f>('Dados Financeiros'!$G$88:$P$88,'Dados Financeiros'!$Q$88,'Dados Financeiros'!$AH$88,'Dados Financeiros'!$AI$88)</c:f>
              <c:numCache>
                <c:formatCode>0.0%</c:formatCode>
                <c:ptCount val="13"/>
                <c:pt idx="0">
                  <c:v>8.2741719600526981E-2</c:v>
                </c:pt>
                <c:pt idx="1">
                  <c:v>5.789922274308406E-2</c:v>
                </c:pt>
                <c:pt idx="2">
                  <c:v>0.11628662233290687</c:v>
                </c:pt>
                <c:pt idx="3">
                  <c:v>8.4808206571705028E-2</c:v>
                </c:pt>
                <c:pt idx="4">
                  <c:v>0.12911939114731433</c:v>
                </c:pt>
                <c:pt idx="5">
                  <c:v>9.2695187554977757E-2</c:v>
                </c:pt>
                <c:pt idx="6">
                  <c:v>9.0489622191823424E-2</c:v>
                </c:pt>
                <c:pt idx="7">
                  <c:v>5.2594487725386899E-2</c:v>
                </c:pt>
                <c:pt idx="8">
                  <c:v>7.8123170020502314E-2</c:v>
                </c:pt>
                <c:pt idx="9">
                  <c:v>6.2388887417188309E-2</c:v>
                </c:pt>
                <c:pt idx="11">
                  <c:v>5.9349459980179382E-2</c:v>
                </c:pt>
                <c:pt idx="12">
                  <c:v>5.3094706051566298E-2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461-4AA5-9A06-7D73FA82D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6103736"/>
        <c:axId val="1096101440"/>
      </c:lineChart>
      <c:catAx>
        <c:axId val="1177108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77108376"/>
        <c:crosses val="autoZero"/>
        <c:auto val="1"/>
        <c:lblAlgn val="ctr"/>
        <c:lblOffset val="100"/>
        <c:noMultiLvlLbl val="0"/>
      </c:catAx>
      <c:valAx>
        <c:axId val="1177108376"/>
        <c:scaling>
          <c:orientation val="minMax"/>
          <c:max val="4000"/>
          <c:min val="0"/>
        </c:scaling>
        <c:delete val="0"/>
        <c:axPos val="l"/>
        <c:numFmt formatCode="_-* #,##0_-;\-* #,##0_-;_-* &quot;-&quot;??_-;_-@_-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77108704"/>
        <c:crosses val="autoZero"/>
        <c:crossBetween val="between"/>
      </c:valAx>
      <c:valAx>
        <c:axId val="1096101440"/>
        <c:scaling>
          <c:orientation val="minMax"/>
          <c:min val="-6.0000000000000012E-2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6103736"/>
        <c:crosses val="max"/>
        <c:crossBetween val="between"/>
      </c:valAx>
      <c:catAx>
        <c:axId val="1096103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61014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bg1"/>
                </a:solidFill>
                <a:latin typeface="Ubuntu" panose="020B0504030602030204" pitchFamily="34" charset="0"/>
                <a:ea typeface="+mn-ea"/>
                <a:cs typeface="+mn-cs"/>
              </a:defRPr>
            </a:pPr>
            <a:r>
              <a:rPr lang="en-US" sz="1050" baseline="0">
                <a:solidFill>
                  <a:schemeClr val="bg1"/>
                </a:solidFill>
                <a:latin typeface="Ubuntu" panose="020B0504030602030204" pitchFamily="34" charset="0"/>
              </a:rPr>
              <a:t>Lucro Líquido e Margem</a:t>
            </a:r>
          </a:p>
          <a:p>
            <a:pPr>
              <a:defRPr sz="1050">
                <a:solidFill>
                  <a:schemeClr val="bg1"/>
                </a:solidFill>
                <a:latin typeface="Ubuntu" panose="020B0504030602030204" pitchFamily="34" charset="0"/>
              </a:defRPr>
            </a:pPr>
            <a:r>
              <a:rPr lang="en-US" sz="1050">
                <a:solidFill>
                  <a:schemeClr val="bg1"/>
                </a:solidFill>
                <a:latin typeface="Ubuntu" panose="020B0504030602030204" pitchFamily="34" charset="0"/>
              </a:rPr>
              <a:t>(R$ milhões)</a:t>
            </a:r>
          </a:p>
        </c:rich>
      </c:tx>
      <c:layout>
        <c:manualLayout>
          <c:xMode val="edge"/>
          <c:yMode val="edge"/>
          <c:x val="0.31802077865266848"/>
          <c:y val="5.5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bg1"/>
              </a:solidFill>
              <a:latin typeface="Ubuntu" panose="020B0504030602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3.1110286947078951E-2"/>
          <c:y val="0.27796303443458797"/>
          <c:w val="0.93155736871642636"/>
          <c:h val="0.575884180250041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('Dados Financeiros'!$G$2:$P$2,'Dados Financeiros'!$Q$2,'Dados Financeiros'!$AH$2,'Dados Financeiros'!$AI$2)</c:f>
              <c:strCache>
                <c:ptCount val="1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1">
                  <c:v>6M25</c:v>
                </c:pt>
                <c:pt idx="12">
                  <c:v>6M26</c:v>
                </c:pt>
              </c:strCache>
            </c:strRef>
          </c:cat>
          <c:val>
            <c:numRef>
              <c:f>('Dados Financeiros'!$G$92:$P$92,'Dados Financeiros'!$Q$92,'Dados Financeiros'!$AH$92,'Dados Financeiros'!$AI$92)</c:f>
              <c:numCache>
                <c:formatCode>_-* #,##0_-;\-* #,##0_-;_-* "-"??_-;_-@_-</c:formatCode>
                <c:ptCount val="13"/>
                <c:pt idx="0">
                  <c:v>24.923999999999999</c:v>
                </c:pt>
                <c:pt idx="1">
                  <c:v>48.48</c:v>
                </c:pt>
                <c:pt idx="2">
                  <c:v>143.59299999999999</c:v>
                </c:pt>
                <c:pt idx="3">
                  <c:v>141.51100000000002</c:v>
                </c:pt>
                <c:pt idx="4">
                  <c:v>293.24700000000001</c:v>
                </c:pt>
                <c:pt idx="5">
                  <c:v>430.30600000000004</c:v>
                </c:pt>
                <c:pt idx="6">
                  <c:v>571.17399999999998</c:v>
                </c:pt>
                <c:pt idx="7">
                  <c:v>573.80200000000002</c:v>
                </c:pt>
                <c:pt idx="8" formatCode="_(* #,##0_);_(* \(#,##0\);_(* &quot;-&quot;??_);_(@_)">
                  <c:v>756.36500000000001</c:v>
                </c:pt>
                <c:pt idx="9" formatCode="_(* #,##0_);_(* \(#,##0\);_(* &quot;-&quot;??_);_(@_)">
                  <c:v>808.69899999999996</c:v>
                </c:pt>
                <c:pt idx="11">
                  <c:v>523.26599999999996</c:v>
                </c:pt>
                <c:pt idx="12">
                  <c:v>291.06299999999999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D2-4430-9802-77AEFAB30D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177108704"/>
        <c:axId val="1177108376"/>
      </c:barChart>
      <c:lineChart>
        <c:grouping val="standard"/>
        <c:varyColors val="0"/>
        <c:ser>
          <c:idx val="1"/>
          <c:order val="1"/>
          <c:spPr>
            <a:ln w="22225" cap="rnd">
              <a:solidFill>
                <a:srgbClr val="33B3B1"/>
              </a:solidFill>
              <a:round/>
            </a:ln>
            <a:effectLst/>
          </c:spPr>
          <c:marker>
            <c:symbol val="none"/>
          </c:marker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33B3B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'Dados Financeiros'!$G$2:$P$2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('Dados Financeiros'!$G$93:$P$93,'Dados Financeiros'!$Q$93,'Dados Financeiros'!$AH$93,'Dados Financeiros'!$AI$93)</c:f>
              <c:numCache>
                <c:formatCode>0.0%</c:formatCode>
                <c:ptCount val="13"/>
                <c:pt idx="0">
                  <c:v>2.1861201892462257E-2</c:v>
                </c:pt>
                <c:pt idx="1">
                  <c:v>3.6558404774481829E-2</c:v>
                </c:pt>
                <c:pt idx="2">
                  <c:v>7.4726877511821707E-2</c:v>
                </c:pt>
                <c:pt idx="3">
                  <c:v>6.3186654944183518E-2</c:v>
                </c:pt>
                <c:pt idx="4">
                  <c:v>9.4279268391481583E-2</c:v>
                </c:pt>
                <c:pt idx="5">
                  <c:v>8.0591954353113809E-2</c:v>
                </c:pt>
                <c:pt idx="6">
                  <c:v>8.2949074487266919E-2</c:v>
                </c:pt>
                <c:pt idx="7">
                  <c:v>6.3762969648661322E-2</c:v>
                </c:pt>
                <c:pt idx="8">
                  <c:v>5.8972281815357651E-2</c:v>
                </c:pt>
                <c:pt idx="9">
                  <c:v>4.9239774973642632E-2</c:v>
                </c:pt>
                <c:pt idx="11">
                  <c:v>7.4096163497735845E-2</c:v>
                </c:pt>
                <c:pt idx="12">
                  <c:v>3.2676731011553516E-2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2D2-4430-9802-77AEFAB30D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6103736"/>
        <c:axId val="1096101440"/>
      </c:lineChart>
      <c:catAx>
        <c:axId val="1177108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77108376"/>
        <c:crosses val="autoZero"/>
        <c:auto val="1"/>
        <c:lblAlgn val="ctr"/>
        <c:lblOffset val="100"/>
        <c:noMultiLvlLbl val="0"/>
      </c:catAx>
      <c:valAx>
        <c:axId val="1177108376"/>
        <c:scaling>
          <c:orientation val="minMax"/>
          <c:max val="1800"/>
          <c:min val="0"/>
        </c:scaling>
        <c:delete val="0"/>
        <c:axPos val="l"/>
        <c:numFmt formatCode="_-* #,##0_-;\-* #,##0_-;_-* &quot;-&quot;??_-;_-@_-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77108704"/>
        <c:crosses val="autoZero"/>
        <c:crossBetween val="between"/>
        <c:majorUnit val="400"/>
        <c:minorUnit val="70"/>
      </c:valAx>
      <c:valAx>
        <c:axId val="1096101440"/>
        <c:scaling>
          <c:orientation val="minMax"/>
          <c:max val="0.11000000000000001"/>
          <c:min val="-8.0000000000000016E-2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6103736"/>
        <c:crosses val="max"/>
        <c:crossBetween val="between"/>
      </c:valAx>
      <c:catAx>
        <c:axId val="1096103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61014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bg1"/>
                </a:solidFill>
                <a:latin typeface="Ubuntu" panose="020B0504030602030204" pitchFamily="34" charset="0"/>
                <a:ea typeface="+mn-ea"/>
                <a:cs typeface="+mn-cs"/>
              </a:defRPr>
            </a:pPr>
            <a:r>
              <a:rPr lang="en-US" sz="1050" baseline="0">
                <a:solidFill>
                  <a:schemeClr val="bg1"/>
                </a:solidFill>
                <a:latin typeface="Ubuntu" panose="020B0504030602030204" pitchFamily="34" charset="0"/>
              </a:rPr>
              <a:t>Lucro Líquido e ROE</a:t>
            </a:r>
          </a:p>
          <a:p>
            <a:pPr>
              <a:defRPr sz="1050">
                <a:solidFill>
                  <a:schemeClr val="bg1"/>
                </a:solidFill>
                <a:latin typeface="Ubuntu" panose="020B0504030602030204" pitchFamily="34" charset="0"/>
              </a:defRPr>
            </a:pPr>
            <a:r>
              <a:rPr lang="en-US" sz="1050">
                <a:solidFill>
                  <a:schemeClr val="bg1"/>
                </a:solidFill>
                <a:latin typeface="Ubuntu" panose="020B0504030602030204" pitchFamily="34" charset="0"/>
              </a:rPr>
              <a:t>(R$ milhões, %)</a:t>
            </a:r>
          </a:p>
        </c:rich>
      </c:tx>
      <c:layout>
        <c:manualLayout>
          <c:xMode val="edge"/>
          <c:yMode val="edge"/>
          <c:x val="0.31802077865266848"/>
          <c:y val="5.5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bg1"/>
              </a:solidFill>
              <a:latin typeface="Ubuntu" panose="020B0504030602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('Dados Financeiros'!$G$2:$P$2,'Dados Financeiros'!$Q$2,'Dados Financeiros'!$AH$2,'Dados Financeiros'!$AI$2)</c:f>
              <c:strCache>
                <c:ptCount val="1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1">
                  <c:v>6M25</c:v>
                </c:pt>
                <c:pt idx="12">
                  <c:v>6M26</c:v>
                </c:pt>
              </c:strCache>
            </c:strRef>
          </c:cat>
          <c:val>
            <c:numRef>
              <c:f>('Dados Financeiros'!$G$92:$P$92,'Dados Financeiros'!$Q$92,'Dados Financeiros'!$AH$92,'Dados Financeiros'!$AI$92)</c:f>
              <c:numCache>
                <c:formatCode>_-* #,##0_-;\-* #,##0_-;_-* "-"??_-;_-@_-</c:formatCode>
                <c:ptCount val="13"/>
                <c:pt idx="0">
                  <c:v>24.923999999999999</c:v>
                </c:pt>
                <c:pt idx="1">
                  <c:v>48.48</c:v>
                </c:pt>
                <c:pt idx="2">
                  <c:v>143.59299999999999</c:v>
                </c:pt>
                <c:pt idx="3">
                  <c:v>141.51100000000002</c:v>
                </c:pt>
                <c:pt idx="4">
                  <c:v>293.24700000000001</c:v>
                </c:pt>
                <c:pt idx="5">
                  <c:v>430.30600000000004</c:v>
                </c:pt>
                <c:pt idx="6">
                  <c:v>571.17399999999998</c:v>
                </c:pt>
                <c:pt idx="7">
                  <c:v>573.80200000000002</c:v>
                </c:pt>
                <c:pt idx="8" formatCode="_(* #,##0_);_(* \(#,##0\);_(* &quot;-&quot;??_);_(@_)">
                  <c:v>756.36500000000001</c:v>
                </c:pt>
                <c:pt idx="9" formatCode="_(* #,##0_);_(* \(#,##0\);_(* &quot;-&quot;??_);_(@_)">
                  <c:v>808.69899999999996</c:v>
                </c:pt>
                <c:pt idx="11">
                  <c:v>523.26599999999996</c:v>
                </c:pt>
                <c:pt idx="12">
                  <c:v>291.06299999999999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3F-4E94-AB86-B02B6FCC58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177108704"/>
        <c:axId val="1177108376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rgbClr val="33B3B1"/>
              </a:solidFill>
              <a:round/>
            </a:ln>
            <a:effectLst/>
          </c:spPr>
          <c:marker>
            <c:symbol val="none"/>
          </c:marke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33B3B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'Dados Financeiros'!$B$2:$P$2</c:f>
              <c:numCache>
                <c:formatCode>General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('Dados Financeiros'!$G$109:$P$109,'Dados Financeiros'!$Q$109,'Dados Financeiros'!$BN$109,'Dados Financeiros'!$BR$109)</c:f>
              <c:numCache>
                <c:formatCode>0.0%</c:formatCode>
                <c:ptCount val="13"/>
                <c:pt idx="0">
                  <c:v>0.27487785779669799</c:v>
                </c:pt>
                <c:pt idx="1">
                  <c:v>0.3216411127402522</c:v>
                </c:pt>
                <c:pt idx="2">
                  <c:v>0.58986782783728553</c:v>
                </c:pt>
                <c:pt idx="3">
                  <c:v>0.41694307254319196</c:v>
                </c:pt>
                <c:pt idx="4">
                  <c:v>0.52476979013020064</c:v>
                </c:pt>
                <c:pt idx="5">
                  <c:v>0.46535175717044558</c:v>
                </c:pt>
                <c:pt idx="6">
                  <c:v>0.40128914053000325</c:v>
                </c:pt>
                <c:pt idx="7">
                  <c:v>0.22681108748711779</c:v>
                </c:pt>
                <c:pt idx="8">
                  <c:v>0.20153446661304777</c:v>
                </c:pt>
                <c:pt idx="9">
                  <c:v>0.17911663958429472</c:v>
                </c:pt>
                <c:pt idx="11">
                  <c:v>0.23514622385219364</c:v>
                </c:pt>
                <c:pt idx="12">
                  <c:v>0.1201640913019979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03F-4E94-AB86-B02B6FCC58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6103736"/>
        <c:axId val="1096101440"/>
      </c:lineChart>
      <c:catAx>
        <c:axId val="1177108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77108376"/>
        <c:crosses val="autoZero"/>
        <c:auto val="1"/>
        <c:lblAlgn val="ctr"/>
        <c:lblOffset val="100"/>
        <c:noMultiLvlLbl val="0"/>
      </c:catAx>
      <c:valAx>
        <c:axId val="1177108376"/>
        <c:scaling>
          <c:orientation val="minMax"/>
          <c:max val="3500"/>
          <c:min val="0"/>
        </c:scaling>
        <c:delete val="0"/>
        <c:axPos val="l"/>
        <c:numFmt formatCode="_-* #,##0_-;\-* #,##0_-;_-* &quot;-&quot;??_-;_-@_-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77108704"/>
        <c:crosses val="autoZero"/>
        <c:crossBetween val="between"/>
      </c:valAx>
      <c:valAx>
        <c:axId val="1096101440"/>
        <c:scaling>
          <c:orientation val="minMax"/>
          <c:min val="-0.60000000000000009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6103736"/>
        <c:crosses val="max"/>
        <c:crossBetween val="between"/>
      </c:valAx>
      <c:catAx>
        <c:axId val="1096103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61014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bg1"/>
                </a:solidFill>
                <a:latin typeface="Ubuntu" panose="020B0504030602030204" pitchFamily="34" charset="0"/>
                <a:ea typeface="+mn-ea"/>
                <a:cs typeface="+mn-cs"/>
              </a:defRPr>
            </a:pPr>
            <a:r>
              <a:rPr lang="en-US" sz="1050" baseline="0">
                <a:solidFill>
                  <a:schemeClr val="bg1"/>
                </a:solidFill>
                <a:latin typeface="Ubuntu" panose="020B0504030602030204" pitchFamily="34" charset="0"/>
              </a:rPr>
              <a:t>NOPAT e ROIC</a:t>
            </a:r>
          </a:p>
          <a:p>
            <a:pPr>
              <a:defRPr sz="1050">
                <a:solidFill>
                  <a:schemeClr val="bg1"/>
                </a:solidFill>
                <a:latin typeface="Ubuntu" panose="020B0504030602030204" pitchFamily="34" charset="0"/>
              </a:defRPr>
            </a:pPr>
            <a:r>
              <a:rPr lang="en-US" sz="1050">
                <a:solidFill>
                  <a:schemeClr val="bg1"/>
                </a:solidFill>
                <a:latin typeface="Ubuntu" panose="020B0504030602030204" pitchFamily="34" charset="0"/>
              </a:rPr>
              <a:t>(R$ milhões, %)</a:t>
            </a:r>
          </a:p>
        </c:rich>
      </c:tx>
      <c:layout>
        <c:manualLayout>
          <c:xMode val="edge"/>
          <c:yMode val="edge"/>
          <c:x val="0.36963516429320015"/>
          <c:y val="2.31979165528564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bg1"/>
              </a:solidFill>
              <a:latin typeface="Ubuntu" panose="020B0504030602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3.5277777777777776E-2"/>
          <c:y val="0.29641011559952235"/>
          <c:w val="0.92944444444444441"/>
          <c:h val="0.563630567983483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('Dados Financeiros'!$G$2:$P$2,'Dados Financeiros'!$Q$2,'Dados Financeiros'!$AH$2,'Dados Financeiros'!$AI$2)</c:f>
              <c:strCache>
                <c:ptCount val="1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1">
                  <c:v>6M25</c:v>
                </c:pt>
                <c:pt idx="12">
                  <c:v>6M26</c:v>
                </c:pt>
              </c:strCache>
            </c:strRef>
          </c:cat>
          <c:val>
            <c:numRef>
              <c:f>('Dados Financeiros'!$G$114:$P$114,'Dados Financeiros'!$Q$114,'Dados Financeiros'!$AH$114,'Dados Financeiros'!$AI$114)</c:f>
              <c:numCache>
                <c:formatCode>_-* #,##0_-;\-* #,##0_-;_-* "-"??_-;_-@_-</c:formatCode>
                <c:ptCount val="13"/>
                <c:pt idx="0">
                  <c:v>53.88</c:v>
                </c:pt>
                <c:pt idx="1">
                  <c:v>95.034999999999997</c:v>
                </c:pt>
                <c:pt idx="2">
                  <c:v>183.798</c:v>
                </c:pt>
                <c:pt idx="3">
                  <c:v>164.905</c:v>
                </c:pt>
                <c:pt idx="4">
                  <c:v>366.73899999999998</c:v>
                </c:pt>
                <c:pt idx="5">
                  <c:v>404.06299999999999</c:v>
                </c:pt>
                <c:pt idx="6">
                  <c:v>568.50400000000002</c:v>
                </c:pt>
                <c:pt idx="7">
                  <c:v>586.77200000000005</c:v>
                </c:pt>
                <c:pt idx="8">
                  <c:v>1000.6370000000002</c:v>
                </c:pt>
                <c:pt idx="9">
                  <c:v>311.66300000000001</c:v>
                </c:pt>
                <c:pt idx="11">
                  <c:v>788.83600000000001</c:v>
                </c:pt>
                <c:pt idx="12">
                  <c:v>282.55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3D-43B8-BD9D-F587C37663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177108704"/>
        <c:axId val="1177108376"/>
      </c:barChart>
      <c:lineChart>
        <c:grouping val="standard"/>
        <c:varyColors val="0"/>
        <c:ser>
          <c:idx val="1"/>
          <c:order val="1"/>
          <c:spPr>
            <a:ln w="22225" cap="rnd">
              <a:solidFill>
                <a:srgbClr val="33B3B1"/>
              </a:solidFill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-6.8012745597278393E-2"/>
                  <c:y val="-9.20496379379241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A3F-46A5-9383-EE4018BFCB7D}"/>
                </c:ext>
              </c:extLst>
            </c:dLbl>
            <c:dLbl>
              <c:idx val="5"/>
              <c:layout>
                <c:manualLayout>
                  <c:x val="-5.86445988207938E-2"/>
                  <c:y val="-0.1047526930226719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A3F-46A5-9383-EE4018BFCB7D}"/>
                </c:ext>
              </c:extLst>
            </c:dLbl>
            <c:dLbl>
              <c:idx val="9"/>
              <c:layout>
                <c:manualLayout>
                  <c:x val="-3.9033944902019266E-2"/>
                  <c:y val="-8.56981103955502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A3F-46A5-9383-EE4018BFCB7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33B3B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'Dados Financeiros'!$E$2:$P$2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('Dados Financeiros'!$G$113:$P$113,'Dados Financeiros'!$Q$113,'Dados Financeiros'!$BN$113,'Dados Financeiros'!$BR$113)</c:f>
              <c:numCache>
                <c:formatCode>0.0%</c:formatCode>
                <c:ptCount val="13"/>
                <c:pt idx="0">
                  <c:v>0.12481872558876539</c:v>
                </c:pt>
                <c:pt idx="1">
                  <c:v>0.23434446552767882</c:v>
                </c:pt>
                <c:pt idx="2">
                  <c:v>0.27981294346856883</c:v>
                </c:pt>
                <c:pt idx="3">
                  <c:v>0.19079287423526803</c:v>
                </c:pt>
                <c:pt idx="4">
                  <c:v>0.34988345216291461</c:v>
                </c:pt>
                <c:pt idx="5">
                  <c:v>0.2459906802940896</c:v>
                </c:pt>
                <c:pt idx="6">
                  <c:v>0.21394883838811335</c:v>
                </c:pt>
                <c:pt idx="7">
                  <c:v>0.17891317134271334</c:v>
                </c:pt>
                <c:pt idx="8">
                  <c:v>0.24675053022215424</c:v>
                </c:pt>
                <c:pt idx="9">
                  <c:v>5.3236795382795285E-2</c:v>
                </c:pt>
                <c:pt idx="11">
                  <c:v>0.16451147114311537</c:v>
                </c:pt>
                <c:pt idx="12">
                  <c:v>4.033521842723483E-2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13D-43B8-BD9D-F587C37663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6103736"/>
        <c:axId val="1096101440"/>
      </c:lineChart>
      <c:catAx>
        <c:axId val="1177108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77108376"/>
        <c:crosses val="autoZero"/>
        <c:auto val="1"/>
        <c:lblAlgn val="ctr"/>
        <c:lblOffset val="100"/>
        <c:noMultiLvlLbl val="0"/>
      </c:catAx>
      <c:valAx>
        <c:axId val="1177108376"/>
        <c:scaling>
          <c:orientation val="minMax"/>
          <c:max val="2800"/>
          <c:min val="0"/>
        </c:scaling>
        <c:delete val="0"/>
        <c:axPos val="l"/>
        <c:numFmt formatCode="_-* #,##0_-;\-* #,##0_-;_-* &quot;-&quot;??_-;_-@_-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77108704"/>
        <c:crosses val="autoZero"/>
        <c:crossBetween val="between"/>
      </c:valAx>
      <c:valAx>
        <c:axId val="1096101440"/>
        <c:scaling>
          <c:orientation val="minMax"/>
          <c:max val="0.38000000000000006"/>
          <c:min val="-0.1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6103736"/>
        <c:crosses val="max"/>
        <c:crossBetween val="between"/>
      </c:valAx>
      <c:catAx>
        <c:axId val="1096103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61014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9197530864197534E-2"/>
          <c:y val="0.23409659830634597"/>
          <c:w val="0.92160493827160495"/>
          <c:h val="0.57106787238569756"/>
        </c:manualLayout>
      </c:layout>
      <c:barChart>
        <c:barDir val="col"/>
        <c:grouping val="clustered"/>
        <c:varyColors val="0"/>
        <c:ser>
          <c:idx val="0"/>
          <c:order val="0"/>
          <c:tx>
            <c:v>Volume (mil ton)</c:v>
          </c:tx>
          <c:spPr>
            <a:solidFill>
              <a:srgbClr val="001E62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rgbClr val="001E62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('Dados Financeiros'!$G$2:$P$2,'Dados Financeiros'!$Q$2,'Dados Financeiros'!$AH$2,'Dados Financeiros'!$AI$2)</c:f>
              <c:strCache>
                <c:ptCount val="1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1">
                  <c:v>6M25</c:v>
                </c:pt>
                <c:pt idx="12">
                  <c:v>6M26</c:v>
                </c:pt>
              </c:strCache>
            </c:strRef>
          </c:cat>
          <c:val>
            <c:numRef>
              <c:f>('Dados Financeiros'!$G$5:$P$5,'Dados Financeiros'!$Q$5,'Dados Financeiros'!$AH$5,'Dados Financeiros'!$AI$5)</c:f>
              <c:numCache>
                <c:formatCode>_(* #,##0_);_(* \(#,##0\);_(* "-"??_);_(@_)</c:formatCode>
                <c:ptCount val="13"/>
                <c:pt idx="0">
                  <c:v>11.72</c:v>
                </c:pt>
                <c:pt idx="1">
                  <c:v>14.16</c:v>
                </c:pt>
                <c:pt idx="2" formatCode="_-* #,##0_-;\-* #,##0_-;_-* &quot;-&quot;??_-;_-@_-">
                  <c:v>16.358315000000001</c:v>
                </c:pt>
                <c:pt idx="3" formatCode="_-* #,##0_-;\-* #,##0_-;_-* &quot;-&quot;??_-;_-@_-">
                  <c:v>12.976760000000001</c:v>
                </c:pt>
                <c:pt idx="4" formatCode="_-* #,##0_-;\-* #,##0_-;_-* &quot;-&quot;??_-;_-@_-">
                  <c:v>15.844999999999999</c:v>
                </c:pt>
                <c:pt idx="5" formatCode="_-* #,##0_-;\-* #,##0_-;_-* &quot;-&quot;??_-;_-@_-">
                  <c:v>18.353000000000002</c:v>
                </c:pt>
                <c:pt idx="6" formatCode="_-* #,##0_-;\-* #,##0_-;_-* &quot;-&quot;??_-;_-@_-">
                  <c:v>25.597000000000001</c:v>
                </c:pt>
                <c:pt idx="7" formatCode="_-* #,##0_-;\-* #,##0_-;_-* &quot;-&quot;??_-;_-@_-">
                  <c:v>34.030710000000013</c:v>
                </c:pt>
                <c:pt idx="8" formatCode="_-* #,##0_-;\-* #,##0_-;_-* &quot;-&quot;??_-;_-@_-">
                  <c:v>18.942999347000011</c:v>
                </c:pt>
                <c:pt idx="9" formatCode="_-* #,##0_-;\-* #,##0_-;_-* &quot;-&quot;??_-;_-@_-">
                  <c:v>18.763149127500011</c:v>
                </c:pt>
                <c:pt idx="11" formatCode="_-* #,##0_-;\-* #,##0_-;_-* &quot;-&quot;??_-;_-@_-">
                  <c:v>7.792804649999999</c:v>
                </c:pt>
                <c:pt idx="12" formatCode="_-* #,##0_-;\-* #,##0_-;_-* &quot;-&quot;??_-;_-@_-">
                  <c:v>5.3479104880000028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E1-4B62-9C54-5410E43AC0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144565912"/>
        <c:axId val="2144561648"/>
      </c:barChart>
      <c:lineChart>
        <c:grouping val="standard"/>
        <c:varyColors val="0"/>
        <c:ser>
          <c:idx val="1"/>
          <c:order val="1"/>
          <c:tx>
            <c:v>Preço unitário (R$/kg)</c:v>
          </c:tx>
          <c:spPr>
            <a:ln w="22225" cap="rnd">
              <a:solidFill>
                <a:srgbClr val="33B3B1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7.1831960749956333E-2"/>
                  <c:y val="-5.84258401137329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295-41B2-8478-C9101FB8B086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rgbClr val="33B3B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'Dados Financeiros'!$G$2:$P$2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('Dados Financeiros'!$G$41:$P$41,'Dados Financeiros'!$Q$41,'Dados Financeiros'!$AH$41,'Dados Financeiros'!$AI$41)</c:f>
              <c:numCache>
                <c:formatCode>_-* #,##0.0_-;\-* #,##0.0_-;_-* "-"??_-;_-@_-</c:formatCode>
                <c:ptCount val="13"/>
                <c:pt idx="0">
                  <c:v>7.4693686006825928</c:v>
                </c:pt>
                <c:pt idx="1">
                  <c:v>6.7612596348870051</c:v>
                </c:pt>
                <c:pt idx="2">
                  <c:v>5.9770826029453525</c:v>
                </c:pt>
                <c:pt idx="3">
                  <c:v>7.0366562994152622</c:v>
                </c:pt>
                <c:pt idx="4">
                  <c:v>7.2514957993057747</c:v>
                </c:pt>
                <c:pt idx="5">
                  <c:v>8.7100746471966417</c:v>
                </c:pt>
                <c:pt idx="6">
                  <c:v>10.316873071063016</c:v>
                </c:pt>
                <c:pt idx="7">
                  <c:v>10.178126134306334</c:v>
                </c:pt>
                <c:pt idx="8">
                  <c:v>17.232000906007308</c:v>
                </c:pt>
                <c:pt idx="9">
                  <c:v>20.5905636327198</c:v>
                </c:pt>
                <c:pt idx="11">
                  <c:v>7.8387459719011447</c:v>
                </c:pt>
                <c:pt idx="12">
                  <c:v>20.033850074792042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6E1-4B62-9C54-5410E43AC0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9774712"/>
        <c:axId val="1139779632"/>
      </c:lineChart>
      <c:catAx>
        <c:axId val="2144565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2144561648"/>
        <c:crosses val="autoZero"/>
        <c:auto val="1"/>
        <c:lblAlgn val="ctr"/>
        <c:lblOffset val="100"/>
        <c:noMultiLvlLbl val="0"/>
      </c:catAx>
      <c:valAx>
        <c:axId val="2144561648"/>
        <c:scaling>
          <c:orientation val="minMax"/>
          <c:max val="90"/>
          <c:min val="0"/>
        </c:scaling>
        <c:delete val="0"/>
        <c:axPos val="l"/>
        <c:numFmt formatCode="_(* #,##0_);_(* \(#,##0\);_(* &quot;-&quot;??_);_(@_)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2144565912"/>
        <c:crosses val="autoZero"/>
        <c:crossBetween val="between"/>
      </c:valAx>
      <c:valAx>
        <c:axId val="1139779632"/>
        <c:scaling>
          <c:orientation val="minMax"/>
          <c:max val="30"/>
          <c:min val="-11"/>
        </c:scaling>
        <c:delete val="0"/>
        <c:axPos val="r"/>
        <c:numFmt formatCode="_-* #,##0.0_-;\-* #,##0.0_-;_-* &quot;-&quot;??_-;_-@_-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1139774712"/>
        <c:crosses val="max"/>
        <c:crossBetween val="between"/>
      </c:valAx>
      <c:catAx>
        <c:axId val="1139774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97796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Arial" panose="020B0604020202020204" pitchFamily="34" charset="0"/>
          <a:cs typeface="Arial" panose="020B060402020202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726403823178014E-2"/>
          <c:y val="0.188351771685105"/>
          <c:w val="0.91654719235364401"/>
          <c:h val="0.61675404842071513"/>
        </c:manualLayout>
      </c:layout>
      <c:barChart>
        <c:barDir val="col"/>
        <c:grouping val="clustered"/>
        <c:varyColors val="0"/>
        <c:ser>
          <c:idx val="0"/>
          <c:order val="0"/>
          <c:tx>
            <c:v>Volume (mil ton)</c:v>
          </c:tx>
          <c:spPr>
            <a:solidFill>
              <a:srgbClr val="001E62"/>
            </a:solidFill>
            <a:ln>
              <a:noFill/>
            </a:ln>
            <a:effectLst/>
          </c:spPr>
          <c:invertIfNegative val="0"/>
          <c:dLbls>
            <c:dLbl>
              <c:idx val="9"/>
              <c:layout>
                <c:manualLayout>
                  <c:x val="0"/>
                  <c:y val="2.6739262712203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DF7-4307-A96E-2CEDD104CD6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rgbClr val="001E62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('Dados Financeiros'!$G$2:$P$2,'Dados Financeiros'!$Q$2,'Dados Financeiros'!$AH$2,'Dados Financeiros'!$AI$2)</c:f>
              <c:strCache>
                <c:ptCount val="1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1">
                  <c:v>6M25</c:v>
                </c:pt>
                <c:pt idx="12">
                  <c:v>6M26</c:v>
                </c:pt>
              </c:strCache>
            </c:strRef>
          </c:cat>
          <c:val>
            <c:numRef>
              <c:f>('Dados Financeiros'!$G$6:$P$6,'Dados Financeiros'!$Q$6,'Dados Financeiros'!$AH$6,'Dados Financeiros'!$AI$6)</c:f>
              <c:numCache>
                <c:formatCode>_(* #,##0_);_(* \(#,##0\);_(* "-"??_);_(@_)</c:formatCode>
                <c:ptCount val="13"/>
                <c:pt idx="0">
                  <c:v>66</c:v>
                </c:pt>
                <c:pt idx="1">
                  <c:v>70</c:v>
                </c:pt>
                <c:pt idx="2" formatCode="_-* #,##0_-;\-* #,##0_-;_-* &quot;-&quot;??_-;_-@_-">
                  <c:v>82.017891999999989</c:v>
                </c:pt>
                <c:pt idx="3" formatCode="_-* #,##0_-;\-* #,##0_-;_-* &quot;-&quot;??_-;_-@_-">
                  <c:v>125.80584999999999</c:v>
                </c:pt>
                <c:pt idx="4" formatCode="_-* #,##0_-;\-* #,##0_-;_-* &quot;-&quot;??_-;_-@_-">
                  <c:v>159.57</c:v>
                </c:pt>
                <c:pt idx="5" formatCode="_-* #,##0_-;\-* #,##0_-;_-* &quot;-&quot;??_-;_-@_-">
                  <c:v>183.5881550000002</c:v>
                </c:pt>
                <c:pt idx="6" formatCode="_-* #,##0_-;\-* #,##0_-;_-* &quot;-&quot;??_-;_-@_-">
                  <c:v>239.30599999999998</c:v>
                </c:pt>
                <c:pt idx="7" formatCode="_-* #,##0_-;\-* #,##0_-;_-* &quot;-&quot;??_-;_-@_-">
                  <c:v>355.07030039999995</c:v>
                </c:pt>
                <c:pt idx="8" formatCode="_-* #,##0_-;\-* #,##0_-;_-* &quot;-&quot;??_-;_-@_-">
                  <c:v>438.4412979999999</c:v>
                </c:pt>
                <c:pt idx="9" formatCode="_-* #,##0_-;\-* #,##0_-;_-* &quot;-&quot;??_-;_-@_-">
                  <c:v>553.84216400000003</c:v>
                </c:pt>
                <c:pt idx="11" formatCode="_-* #,##0_-;\-* #,##0_-;_-* &quot;-&quot;??_-;_-@_-">
                  <c:v>165.15314900000001</c:v>
                </c:pt>
                <c:pt idx="12" formatCode="_-* #,##0_-;\-* #,##0_-;_-* &quot;-&quot;??_-;_-@_-">
                  <c:v>225.51726000000008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D9-4916-9723-D3BCA4F77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144565912"/>
        <c:axId val="2144561648"/>
      </c:barChart>
      <c:lineChart>
        <c:grouping val="standard"/>
        <c:varyColors val="0"/>
        <c:ser>
          <c:idx val="1"/>
          <c:order val="1"/>
          <c:tx>
            <c:v>Preço unitário (R$/kg)</c:v>
          </c:tx>
          <c:spPr>
            <a:ln w="22225" cap="rnd">
              <a:solidFill>
                <a:srgbClr val="33B3B1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-3.8409164500686988E-2"/>
                  <c:y val="-6.90463071952716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DF7-4307-A96E-2CEDD104CD61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rgbClr val="33B3B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'Dados Financeiros'!$G$2:$P$2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('Dados Financeiros'!$G$42:$P$42,'Dados Financeiros'!$Q$42,'Dados Financeiros'!$BN$42,'Dados Financeiros'!$BR$42)</c:f>
              <c:numCache>
                <c:formatCode>_-* #,##0.0_-;\-* #,##0.0_-;_-* "-"??_-;_-@_-</c:formatCode>
                <c:ptCount val="13"/>
                <c:pt idx="0">
                  <c:v>1.4578181818181817</c:v>
                </c:pt>
                <c:pt idx="1">
                  <c:v>1.403205461</c:v>
                </c:pt>
                <c:pt idx="2">
                  <c:v>1.7713939782797639</c:v>
                </c:pt>
                <c:pt idx="3">
                  <c:v>1.6665043000782556</c:v>
                </c:pt>
                <c:pt idx="4">
                  <c:v>1.6148828360594096</c:v>
                </c:pt>
                <c:pt idx="5">
                  <c:v>3.0414985106201402</c:v>
                </c:pt>
                <c:pt idx="6">
                  <c:v>4.5546329803682317</c:v>
                </c:pt>
                <c:pt idx="7">
                  <c:v>2.841858079916165</c:v>
                </c:pt>
                <c:pt idx="8">
                  <c:v>2.4880968943304245</c:v>
                </c:pt>
                <c:pt idx="9">
                  <c:v>2.8353985593628441</c:v>
                </c:pt>
                <c:pt idx="11">
                  <c:v>2.6364115403242065</c:v>
                </c:pt>
                <c:pt idx="12">
                  <c:v>2.8360363773168578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87D9-4916-9723-D3BCA4F77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9774712"/>
        <c:axId val="1139779632"/>
      </c:lineChart>
      <c:catAx>
        <c:axId val="2144565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2144561648"/>
        <c:crosses val="autoZero"/>
        <c:auto val="1"/>
        <c:lblAlgn val="ctr"/>
        <c:lblOffset val="100"/>
        <c:noMultiLvlLbl val="0"/>
      </c:catAx>
      <c:valAx>
        <c:axId val="2144561648"/>
        <c:scaling>
          <c:orientation val="minMax"/>
          <c:max val="1000"/>
          <c:min val="0"/>
        </c:scaling>
        <c:delete val="0"/>
        <c:axPos val="l"/>
        <c:numFmt formatCode="_(* #,##0_);_(* \(#,##0\);_(* &quot;-&quot;??_);_(@_)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2144565912"/>
        <c:crosses val="autoZero"/>
        <c:crossBetween val="between"/>
      </c:valAx>
      <c:valAx>
        <c:axId val="1139779632"/>
        <c:scaling>
          <c:orientation val="minMax"/>
          <c:max val="5"/>
          <c:min val="-1.6"/>
        </c:scaling>
        <c:delete val="0"/>
        <c:axPos val="r"/>
        <c:numFmt formatCode="_-* #,##0.0_-;\-* #,##0.0_-;_-* &quot;-&quot;??_-;_-@_-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1139774712"/>
        <c:crosses val="max"/>
        <c:crossBetween val="between"/>
      </c:valAx>
      <c:catAx>
        <c:axId val="1139774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97796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Arial" panose="020B0604020202020204" pitchFamily="34" charset="0"/>
          <a:cs typeface="Arial" panose="020B060402020202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726403823178014E-2"/>
          <c:y val="0.24943883277216611"/>
          <c:w val="0.91654719235364401"/>
          <c:h val="0.55566698733365405"/>
        </c:manualLayout>
      </c:layout>
      <c:barChart>
        <c:barDir val="col"/>
        <c:grouping val="clustered"/>
        <c:varyColors val="0"/>
        <c:ser>
          <c:idx val="0"/>
          <c:order val="0"/>
          <c:tx>
            <c:v>Volume (quilolitro)</c:v>
          </c:tx>
          <c:spPr>
            <a:solidFill>
              <a:srgbClr val="001E62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600" b="1" i="0" u="none" strike="noStrike" kern="1200" baseline="0">
                    <a:solidFill>
                      <a:srgbClr val="001E62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('Dados Financeiros'!$G$2:$P$2,'Dados Financeiros'!$Q$2,'Dados Financeiros'!$AH$2,'Dados Financeiros'!$AI$2)</c:f>
              <c:strCache>
                <c:ptCount val="1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1">
                  <c:v>6M25</c:v>
                </c:pt>
                <c:pt idx="12">
                  <c:v>6M26</c:v>
                </c:pt>
              </c:strCache>
            </c:strRef>
          </c:cat>
          <c:val>
            <c:numRef>
              <c:f>('Dados Financeiros'!$G$7:$P$7,'Dados Financeiros'!$Q$7,'Dados Financeiros'!$AH$7,'Dados Financeiros'!$AI$7)</c:f>
              <c:numCache>
                <c:formatCode>_(* #,##0_);_(* \(#,##0\);_(* "-"??_);_(@_)</c:formatCode>
                <c:ptCount val="13"/>
                <c:pt idx="0">
                  <c:v>4807</c:v>
                </c:pt>
                <c:pt idx="1">
                  <c:v>6119</c:v>
                </c:pt>
                <c:pt idx="2" formatCode="_-* #,##0_-;\-* #,##0_-;_-* &quot;-&quot;??_-;_-@_-">
                  <c:v>8015.4620800000002</c:v>
                </c:pt>
                <c:pt idx="3" formatCode="_-* #,##0_-;\-* #,##0_-;_-* &quot;-&quot;??_-;_-@_-">
                  <c:v>9681.7956400000003</c:v>
                </c:pt>
                <c:pt idx="4" formatCode="_-* #,##0_-;\-* #,##0_-;_-* &quot;-&quot;??_-;_-@_-">
                  <c:v>12168.166000000001</c:v>
                </c:pt>
                <c:pt idx="5" formatCode="_-* #,##0_-;\-* #,##0_-;_-* &quot;-&quot;??_-;_-@_-">
                  <c:v>14362.256180000033</c:v>
                </c:pt>
                <c:pt idx="6" formatCode="_-* #,##0_-;\-* #,##0_-;_-* &quot;-&quot;??_-;_-@_-">
                  <c:v>14253.240619999986</c:v>
                </c:pt>
                <c:pt idx="7" formatCode="_-* #,##0_-;\-* #,##0_-;_-* &quot;-&quot;??_-;_-@_-">
                  <c:v>18968.675409999989</c:v>
                </c:pt>
                <c:pt idx="8" formatCode="_-* #,##0_-;\-* #,##0_-;_-* &quot;-&quot;??_-;_-@_-">
                  <c:v>25968.689120000112</c:v>
                </c:pt>
                <c:pt idx="9" formatCode="_-* #,##0_-;\-* #,##0_-;_-* &quot;-&quot;??_-;_-@_-">
                  <c:v>28229.901614999846</c:v>
                </c:pt>
                <c:pt idx="11" formatCode="_-* #,##0_-;\-* #,##0_-;_-* &quot;-&quot;??_-;_-@_-">
                  <c:v>11042.751594999972</c:v>
                </c:pt>
                <c:pt idx="12" formatCode="_-* #,##0_-;\-* #,##0_-;_-* &quot;-&quot;??_-;_-@_-">
                  <c:v>11934.086020000652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7D-4BDA-A8D4-ED7EAE45A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144565912"/>
        <c:axId val="2144561648"/>
      </c:barChart>
      <c:lineChart>
        <c:grouping val="standard"/>
        <c:varyColors val="0"/>
        <c:ser>
          <c:idx val="1"/>
          <c:order val="1"/>
          <c:tx>
            <c:v>Preço unitário (R$/l)</c:v>
          </c:tx>
          <c:spPr>
            <a:ln w="22225" cap="rnd">
              <a:solidFill>
                <a:srgbClr val="33B3B1"/>
              </a:solidFill>
              <a:round/>
            </a:ln>
            <a:effectLst/>
          </c:spPr>
          <c:marker>
            <c:symbol val="none"/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rgbClr val="33B3B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'Dados Financeiros'!$G$2:$P$2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('Dados Financeiros'!$G$43:$P$43,'Dados Financeiros'!$Q$43,'Dados Financeiros'!$AH$43,'Dados Financeiros'!$AI$43)</c:f>
              <c:numCache>
                <c:formatCode>_-* #,##0.0_-;\-* #,##0.0_-;_-* "-"??_-;_-@_-</c:formatCode>
                <c:ptCount val="13"/>
                <c:pt idx="0">
                  <c:v>39.055335968379445</c:v>
                </c:pt>
                <c:pt idx="1">
                  <c:v>36.339217311652234</c:v>
                </c:pt>
                <c:pt idx="2">
                  <c:v>46.004083896807593</c:v>
                </c:pt>
                <c:pt idx="3">
                  <c:v>43.525604719332826</c:v>
                </c:pt>
                <c:pt idx="4">
                  <c:v>44.847805028300876</c:v>
                </c:pt>
                <c:pt idx="5">
                  <c:v>56.807021805956822</c:v>
                </c:pt>
                <c:pt idx="6">
                  <c:v>82.883958216654392</c:v>
                </c:pt>
                <c:pt idx="7">
                  <c:v>62.635953831738895</c:v>
                </c:pt>
                <c:pt idx="8">
                  <c:v>53.998629902732411</c:v>
                </c:pt>
                <c:pt idx="9">
                  <c:v>51.467886158625127</c:v>
                </c:pt>
                <c:pt idx="11">
                  <c:v>47.657448242183463</c:v>
                </c:pt>
                <c:pt idx="12">
                  <c:v>51.235268432392814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DA7D-4BDA-A8D4-ED7EAE45A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9774712"/>
        <c:axId val="1139779632"/>
      </c:lineChart>
      <c:catAx>
        <c:axId val="2144565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2144561648"/>
        <c:crosses val="autoZero"/>
        <c:auto val="1"/>
        <c:lblAlgn val="ctr"/>
        <c:lblOffset val="100"/>
        <c:noMultiLvlLbl val="0"/>
      </c:catAx>
      <c:valAx>
        <c:axId val="2144561648"/>
        <c:scaling>
          <c:orientation val="minMax"/>
          <c:max val="55000"/>
          <c:min val="0"/>
        </c:scaling>
        <c:delete val="0"/>
        <c:axPos val="l"/>
        <c:numFmt formatCode="_(* #,##0_);_(* \(#,##0\);_(* &quot;-&quot;??_);_(@_)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2144565912"/>
        <c:crosses val="autoZero"/>
        <c:crossBetween val="between"/>
      </c:valAx>
      <c:valAx>
        <c:axId val="1139779632"/>
        <c:scaling>
          <c:orientation val="minMax"/>
          <c:max val="90"/>
          <c:min val="-30"/>
        </c:scaling>
        <c:delete val="0"/>
        <c:axPos val="r"/>
        <c:numFmt formatCode="_-* #,##0.0_-;\-* #,##0.0_-;_-* &quot;-&quot;??_-;_-@_-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1139774712"/>
        <c:crosses val="max"/>
        <c:crossBetween val="between"/>
      </c:valAx>
      <c:catAx>
        <c:axId val="1139774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97796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Arial" panose="020B0604020202020204" pitchFamily="34" charset="0"/>
          <a:cs typeface="Arial" panose="020B060402020202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4353751863123727E-2"/>
          <c:y val="0.19344236671292456"/>
          <c:w val="0.91654719235364401"/>
          <c:h val="0.61166345999679328"/>
        </c:manualLayout>
      </c:layout>
      <c:barChart>
        <c:barDir val="col"/>
        <c:grouping val="clustered"/>
        <c:varyColors val="0"/>
        <c:ser>
          <c:idx val="0"/>
          <c:order val="0"/>
          <c:tx>
            <c:v>Volume (mil ton)</c:v>
          </c:tx>
          <c:spPr>
            <a:solidFill>
              <a:srgbClr val="001E62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rgbClr val="001E62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('Dados Financeiros'!$G$2:$P$2,'Dados Financeiros'!$Q$2,'Dados Financeiros'!$AH$2,'Dados Financeiros'!$AI$2)</c:f>
              <c:strCache>
                <c:ptCount val="1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1">
                  <c:v>6M25</c:v>
                </c:pt>
                <c:pt idx="12">
                  <c:v>6M26</c:v>
                </c:pt>
              </c:strCache>
            </c:strRef>
          </c:cat>
          <c:val>
            <c:numRef>
              <c:f>('Dados Financeiros'!$G$9:$P$9,'Dados Financeiros'!$Q$9,'Dados Financeiros'!$AH$9,'Dados Financeiros'!$AI$9)</c:f>
              <c:numCache>
                <c:formatCode>_(* #,##0_);_(* \(#,##0\);_(* "-"??_);_(@_)</c:formatCode>
                <c:ptCount val="13"/>
                <c:pt idx="0">
                  <c:v>277.35967388</c:v>
                </c:pt>
                <c:pt idx="1">
                  <c:v>396.74941530699999</c:v>
                </c:pt>
                <c:pt idx="2" formatCode="_-* #,##0_-;\-* #,##0_-;_-* &quot;-&quot;??_-;_-@_-">
                  <c:v>370.99989800000003</c:v>
                </c:pt>
                <c:pt idx="3" formatCode="_-* #,##0_-;\-* #,##0_-;_-* &quot;-&quot;??_-;_-@_-">
                  <c:v>430.200018</c:v>
                </c:pt>
                <c:pt idx="4" formatCode="_-* #,##0_-;\-* #,##0_-;_-* &quot;-&quot;??_-;_-@_-">
                  <c:v>377.976</c:v>
                </c:pt>
                <c:pt idx="5" formatCode="_-* #,##0_-;\-* #,##0_-;_-* &quot;-&quot;??_-;_-@_-">
                  <c:v>670.82896900000128</c:v>
                </c:pt>
                <c:pt idx="6" formatCode="_-* #,##0_-;\-* #,##0_-;_-* &quot;-&quot;??_-;_-@_-">
                  <c:v>610.39400000000001</c:v>
                </c:pt>
                <c:pt idx="7" formatCode="_-* #,##0_-;\-* #,##0_-;_-* &quot;-&quot;??_-;_-@_-">
                  <c:v>1028.3990229999997</c:v>
                </c:pt>
                <c:pt idx="8" formatCode="_-* #,##0_-;\-* #,##0_-;_-* &quot;-&quot;??_-;_-@_-">
                  <c:v>1874.4453982150008</c:v>
                </c:pt>
                <c:pt idx="9" formatCode="_-* #,##0_-;\-* #,##0_-;_-* &quot;-&quot;??_-;_-@_-">
                  <c:v>3017.8633129909995</c:v>
                </c:pt>
                <c:pt idx="11" formatCode="_-* #,##0_-;\-* #,##0_-;_-* &quot;-&quot;??_-;_-@_-">
                  <c:v>1234.115651991</c:v>
                </c:pt>
                <c:pt idx="12" formatCode="_-* #,##0_-;\-* #,##0_-;_-* &quot;-&quot;??_-;_-@_-">
                  <c:v>1895.8848569999993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EB-45F5-AD14-F1CB93517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144565912"/>
        <c:axId val="2144561648"/>
      </c:barChart>
      <c:lineChart>
        <c:grouping val="standard"/>
        <c:varyColors val="0"/>
        <c:ser>
          <c:idx val="1"/>
          <c:order val="1"/>
          <c:tx>
            <c:v>Preço unitário (R$/kg)</c:v>
          </c:tx>
          <c:spPr>
            <a:ln w="19050" cap="rnd">
              <a:solidFill>
                <a:srgbClr val="33B3B1"/>
              </a:solidFill>
              <a:round/>
            </a:ln>
            <a:effectLst/>
          </c:spPr>
          <c:marker>
            <c:symbol val="none"/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rgbClr val="33B3B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'Dados Financeiros'!$G$2:$P$2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('Dados Financeiros'!$G$45:$P$45,'Dados Financeiros'!$Q$45,'Dados Financeiros'!$AH$45,'Dados Financeiros'!$AI$45)</c:f>
              <c:numCache>
                <c:formatCode>_-* #,##0.0_-;\-* #,##0.0_-;_-* "-"??_-;_-@_-</c:formatCode>
                <c:ptCount val="13"/>
                <c:pt idx="0">
                  <c:v>1.1879015986388424</c:v>
                </c:pt>
                <c:pt idx="1">
                  <c:v>1.0102340271374015</c:v>
                </c:pt>
                <c:pt idx="2">
                  <c:v>1.1920165002309515</c:v>
                </c:pt>
                <c:pt idx="3">
                  <c:v>1.0568037679626503</c:v>
                </c:pt>
                <c:pt idx="4">
                  <c:v>1.2862051090280866</c:v>
                </c:pt>
                <c:pt idx="5">
                  <c:v>2.105299659472514</c:v>
                </c:pt>
                <c:pt idx="6">
                  <c:v>2.2084915644649197</c:v>
                </c:pt>
                <c:pt idx="7">
                  <c:v>1.7174580507397323</c:v>
                </c:pt>
                <c:pt idx="8">
                  <c:v>1.737805124705438</c:v>
                </c:pt>
                <c:pt idx="9">
                  <c:v>1.7346983601737707</c:v>
                </c:pt>
                <c:pt idx="11">
                  <c:v>1.8624539252588874</c:v>
                </c:pt>
                <c:pt idx="12">
                  <c:v>1.935366351463615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EEB-45F5-AD14-F1CB93517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9774712"/>
        <c:axId val="1139779632"/>
      </c:lineChart>
      <c:catAx>
        <c:axId val="2144565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2144561648"/>
        <c:crosses val="autoZero"/>
        <c:auto val="1"/>
        <c:lblAlgn val="ctr"/>
        <c:lblOffset val="100"/>
        <c:noMultiLvlLbl val="0"/>
      </c:catAx>
      <c:valAx>
        <c:axId val="2144561648"/>
        <c:scaling>
          <c:orientation val="minMax"/>
          <c:max val="4800"/>
          <c:min val="0"/>
        </c:scaling>
        <c:delete val="0"/>
        <c:axPos val="l"/>
        <c:numFmt formatCode="_(* #,##0_);_(* \(#,##0\);_(* &quot;-&quot;??_);_(@_)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2144565912"/>
        <c:crosses val="autoZero"/>
        <c:crossBetween val="between"/>
      </c:valAx>
      <c:valAx>
        <c:axId val="1139779632"/>
        <c:scaling>
          <c:orientation val="minMax"/>
          <c:max val="2.5"/>
          <c:min val="-1"/>
        </c:scaling>
        <c:delete val="0"/>
        <c:axPos val="r"/>
        <c:numFmt formatCode="_-* #,##0.0_-;\-* #,##0.0_-;_-* &quot;-&quot;??_-;_-@_-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1139774712"/>
        <c:crosses val="max"/>
        <c:crossBetween val="between"/>
      </c:valAx>
      <c:catAx>
        <c:axId val="1139774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97796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Arial" panose="020B0604020202020204" pitchFamily="34" charset="0"/>
          <a:cs typeface="Arial" panose="020B060402020202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9197530864197534E-2"/>
          <c:y val="0.23788458472820023"/>
          <c:w val="0.92160493827160495"/>
          <c:h val="0.56833970986768678"/>
        </c:manualLayout>
      </c:layout>
      <c:barChart>
        <c:barDir val="col"/>
        <c:grouping val="clustered"/>
        <c:varyColors val="0"/>
        <c:ser>
          <c:idx val="0"/>
          <c:order val="0"/>
          <c:tx>
            <c:v>Volume (mil m³)</c:v>
          </c:tx>
          <c:spPr>
            <a:solidFill>
              <a:srgbClr val="001E62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rgbClr val="001E62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('Dados Financeiros'!$G$2:$P$2,'Dados Financeiros'!$Q$2,'Dados Financeiros'!$AH$2,'Dados Financeiros'!$AI$2)</c:f>
              <c:strCache>
                <c:ptCount val="1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1">
                  <c:v>6M25</c:v>
                </c:pt>
                <c:pt idx="12">
                  <c:v>6M26</c:v>
                </c:pt>
              </c:strCache>
            </c:strRef>
          </c:cat>
          <c:val>
            <c:numRef>
              <c:f>('Dados Financeiros'!$G$15:$P$15,'Dados Financeiros'!$Q$15,'Dados Financeiros'!$AH$15,'Dados Financeiros'!$AI$15)</c:f>
              <c:numCache>
                <c:formatCode>_(* #,##0_);_(* \(#,##0\);_(* "-"??_);_(@_)</c:formatCode>
                <c:ptCount val="13"/>
                <c:pt idx="0">
                  <c:v>75.805000000000007</c:v>
                </c:pt>
                <c:pt idx="1">
                  <c:v>93.945999999999998</c:v>
                </c:pt>
                <c:pt idx="2" formatCode="_-* #,##0_-;\-* #,##0_-;_-* &quot;-&quot;??_-;_-@_-">
                  <c:v>129.26588100000001</c:v>
                </c:pt>
                <c:pt idx="3" formatCode="_-* #,##0_-;\-* #,##0_-;_-* &quot;-&quot;??_-;_-@_-">
                  <c:v>154.95600000000002</c:v>
                </c:pt>
                <c:pt idx="4" formatCode="_-* #,##0_-;\-* #,##0_-;_-* &quot;-&quot;??_-;_-@_-">
                  <c:v>179.43700000000001</c:v>
                </c:pt>
                <c:pt idx="5" formatCode="_-* #,##0_-;\-* #,##0_-;_-* &quot;-&quot;??_-;_-@_-">
                  <c:v>200.65652599999981</c:v>
                </c:pt>
                <c:pt idx="6" formatCode="_-* #,##0_-;\-* #,##0_-;_-* &quot;-&quot;??_-;_-@_-">
                  <c:v>173.135133</c:v>
                </c:pt>
                <c:pt idx="7" formatCode="_-* #,##0_-;\-* #,##0_-;_-* &quot;-&quot;??_-;_-@_-">
                  <c:v>334.73817400000007</c:v>
                </c:pt>
                <c:pt idx="8" formatCode="_-* #,##0_-;\-* #,##0_-;_-* &quot;-&quot;??_-;_-@_-">
                  <c:v>573.27104199999985</c:v>
                </c:pt>
                <c:pt idx="9" formatCode="_-* #,##0_-;\-* #,##0_-;_-* &quot;-&quot;??_-;_-@_-">
                  <c:v>634.94111099999975</c:v>
                </c:pt>
                <c:pt idx="11" formatCode="_-* #,##0_-;\-* #,##0_-;_-* &quot;-&quot;??_-;_-@_-">
                  <c:v>318.47960599999988</c:v>
                </c:pt>
                <c:pt idx="12" formatCode="_-* #,##0_-;\-* #,##0_-;_-* &quot;-&quot;??_-;_-@_-">
                  <c:v>341.61108600000011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DE-4209-A15A-899BBF50A7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144565912"/>
        <c:axId val="2144561648"/>
      </c:barChart>
      <c:lineChart>
        <c:grouping val="standard"/>
        <c:varyColors val="0"/>
        <c:ser>
          <c:idx val="1"/>
          <c:order val="1"/>
          <c:tx>
            <c:v>Preço unitário (R$/l)</c:v>
          </c:tx>
          <c:spPr>
            <a:ln w="22225" cap="rnd">
              <a:solidFill>
                <a:srgbClr val="33B3B1"/>
              </a:solidFill>
              <a:round/>
            </a:ln>
            <a:effectLst/>
          </c:spPr>
          <c:marker>
            <c:symbol val="none"/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rgbClr val="33B3B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'Dados Financeiros'!$G$2:$P$2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('Dados Financeiros'!$G$51:$P$51,'Dados Financeiros'!$Q$51,'Dados Financeiros'!$AH$51,'Dados Financeiros'!$AI$51)</c:f>
              <c:numCache>
                <c:formatCode>_-* #,##0.0_-;\-* #,##0.0_-;_-* "-"??_-;_-@_-</c:formatCode>
                <c:ptCount val="13"/>
                <c:pt idx="0">
                  <c:v>2.0294043928500756</c:v>
                </c:pt>
                <c:pt idx="1">
                  <c:v>2.1626679156110957</c:v>
                </c:pt>
                <c:pt idx="2">
                  <c:v>2.6799801875020677</c:v>
                </c:pt>
                <c:pt idx="3">
                  <c:v>2.6535597201786305</c:v>
                </c:pt>
                <c:pt idx="4">
                  <c:v>4.1101332902355701</c:v>
                </c:pt>
                <c:pt idx="5">
                  <c:v>5.6187557039635037</c:v>
                </c:pt>
                <c:pt idx="6">
                  <c:v>7.1323093974808689</c:v>
                </c:pt>
                <c:pt idx="7">
                  <c:v>4.7740519888239561</c:v>
                </c:pt>
                <c:pt idx="8">
                  <c:v>5.3000534329486833</c:v>
                </c:pt>
                <c:pt idx="9">
                  <c:v>6.1061386138431599</c:v>
                </c:pt>
                <c:pt idx="11">
                  <c:v>5.96844004948177</c:v>
                </c:pt>
                <c:pt idx="12">
                  <c:v>5.621634324826025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6DE-4209-A15A-899BBF50A7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9774712"/>
        <c:axId val="1139779632"/>
      </c:lineChart>
      <c:catAx>
        <c:axId val="2144565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2144561648"/>
        <c:crosses val="autoZero"/>
        <c:auto val="1"/>
        <c:lblAlgn val="ctr"/>
        <c:lblOffset val="100"/>
        <c:noMultiLvlLbl val="0"/>
      </c:catAx>
      <c:valAx>
        <c:axId val="2144561648"/>
        <c:scaling>
          <c:orientation val="minMax"/>
          <c:max val="1000"/>
        </c:scaling>
        <c:delete val="0"/>
        <c:axPos val="l"/>
        <c:numFmt formatCode="_(* #,##0_);_(* \(#,##0\);_(* &quot;-&quot;??_);_(@_)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2144565912"/>
        <c:crosses val="autoZero"/>
        <c:crossBetween val="between"/>
      </c:valAx>
      <c:valAx>
        <c:axId val="1139779632"/>
        <c:scaling>
          <c:orientation val="minMax"/>
          <c:max val="8"/>
          <c:min val="-3"/>
        </c:scaling>
        <c:delete val="0"/>
        <c:axPos val="r"/>
        <c:numFmt formatCode="_-* #,##0.0_-;\-* #,##0.0_-;_-* &quot;-&quot;??_-;_-@_-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1139774712"/>
        <c:crosses val="max"/>
        <c:crossBetween val="between"/>
      </c:valAx>
      <c:catAx>
        <c:axId val="1139774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97796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Arial" panose="020B0604020202020204" pitchFamily="34" charset="0"/>
          <a:cs typeface="Arial" panose="020B060402020202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4353751863123727E-2"/>
          <c:y val="0.15157438524504191"/>
          <c:w val="0.91654719235364401"/>
          <c:h val="0.64932169615813817"/>
        </c:manualLayout>
      </c:layout>
      <c:barChart>
        <c:barDir val="col"/>
        <c:grouping val="clustered"/>
        <c:varyColors val="0"/>
        <c:ser>
          <c:idx val="0"/>
          <c:order val="0"/>
          <c:tx>
            <c:v>Volume (mil ton)</c:v>
          </c:tx>
          <c:spPr>
            <a:solidFill>
              <a:srgbClr val="001E62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rgbClr val="001E62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('Dados Financeiros'!$G$2:$P$2,'Dados Financeiros'!$Q$2,'Dados Financeiros'!$AH$2,'Dados Financeiros'!$AI$2)</c:f>
              <c:strCache>
                <c:ptCount val="1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1">
                  <c:v>6M25</c:v>
                </c:pt>
                <c:pt idx="12">
                  <c:v>6M26</c:v>
                </c:pt>
              </c:strCache>
            </c:strRef>
          </c:cat>
          <c:val>
            <c:numRef>
              <c:f>('Dados Financeiros'!$G$16:$P$16,'Dados Financeiros'!$Q$16,'Dados Financeiros'!$AH$16,'Dados Financeiros'!$AI$16)</c:f>
              <c:numCache>
                <c:formatCode>_(* #,##0_);_(* \(#,##0\);_(* "-"??_);_(@_)</c:formatCode>
                <c:ptCount val="13"/>
                <c:pt idx="0">
                  <c:v>230.066</c:v>
                </c:pt>
                <c:pt idx="1">
                  <c:v>296</c:v>
                </c:pt>
                <c:pt idx="2" formatCode="_-* #,##0_-;\-* #,##0_-;_-* &quot;-&quot;??_-;_-@_-">
                  <c:v>416.89703833999999</c:v>
                </c:pt>
                <c:pt idx="3" formatCode="_-* #,##0_-;\-* #,##0_-;_-* &quot;-&quot;??_-;_-@_-">
                  <c:v>562.58019000000002</c:v>
                </c:pt>
                <c:pt idx="4" formatCode="_-* #,##0_-;\-* #,##0_-;_-* &quot;-&quot;??_-;_-@_-">
                  <c:v>569.76900000000001</c:v>
                </c:pt>
                <c:pt idx="5" formatCode="_-* #,##0_-;\-* #,##0_-;_-* &quot;-&quot;??_-;_-@_-">
                  <c:v>572.35316499999976</c:v>
                </c:pt>
                <c:pt idx="6" formatCode="_-* #,##0_-;\-* #,##0_-;_-* &quot;-&quot;??_-;_-@_-">
                  <c:v>709.54711500000008</c:v>
                </c:pt>
                <c:pt idx="7" formatCode="_-* #,##0_-;\-* #,##0_-;_-* &quot;-&quot;??_-;_-@_-">
                  <c:v>1271.4155700000001</c:v>
                </c:pt>
                <c:pt idx="8" formatCode="_-* #,##0_-;\-* #,##0_-;_-* &quot;-&quot;??_-;_-@_-">
                  <c:v>1777.4354746899994</c:v>
                </c:pt>
                <c:pt idx="9" formatCode="_-* #,##0_-;\-* #,##0_-;_-* &quot;-&quot;??_-;_-@_-">
                  <c:v>2216.3001563509997</c:v>
                </c:pt>
                <c:pt idx="11" formatCode="_-* #,##0_-;\-* #,##0_-;_-* &quot;-&quot;??_-;_-@_-">
                  <c:v>944.71623535100002</c:v>
                </c:pt>
                <c:pt idx="12" formatCode="_-* #,##0_-;\-* #,##0_-;_-* &quot;-&quot;??_-;_-@_-">
                  <c:v>1163.8288703100006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9D-49DE-A3C4-0BB1C13409C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7"/>
        <c:axId val="2144565912"/>
        <c:axId val="2144561648"/>
      </c:barChart>
      <c:lineChart>
        <c:grouping val="standard"/>
        <c:varyColors val="0"/>
        <c:ser>
          <c:idx val="1"/>
          <c:order val="1"/>
          <c:tx>
            <c:v>Preço unitário (R$/kg)</c:v>
          </c:tx>
          <c:spPr>
            <a:ln w="22225" cap="rnd">
              <a:solidFill>
                <a:srgbClr val="33B3B1"/>
              </a:solidFill>
              <a:round/>
            </a:ln>
            <a:effectLst/>
          </c:spPr>
          <c:marker>
            <c:symbol val="none"/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rgbClr val="33B3B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'Dados Financeiros'!$G$2:$P$2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('Dados Financeiros'!$G$52:$P$52,'Dados Financeiros'!$Q$52,'Dados Financeiros'!$BN$52,'Dados Financeiros'!$BR$52)</c:f>
              <c:numCache>
                <c:formatCode>_-* #,##0.0_-;\-* #,##0.0_-;_-* "-"??_-;_-@_-</c:formatCode>
                <c:ptCount val="13"/>
                <c:pt idx="0">
                  <c:v>1.2400398146618796</c:v>
                </c:pt>
                <c:pt idx="1">
                  <c:v>1.0330743243243243</c:v>
                </c:pt>
                <c:pt idx="2">
                  <c:v>1.2499441158778852</c:v>
                </c:pt>
                <c:pt idx="3">
                  <c:v>1.157833161526715</c:v>
                </c:pt>
                <c:pt idx="4">
                  <c:v>1.6997083175637846</c:v>
                </c:pt>
                <c:pt idx="5">
                  <c:v>2.2109862885094738</c:v>
                </c:pt>
                <c:pt idx="6">
                  <c:v>2.4910805253573605</c:v>
                </c:pt>
                <c:pt idx="7">
                  <c:v>2.4312632246971364</c:v>
                </c:pt>
                <c:pt idx="8">
                  <c:v>2.0875016504099184</c:v>
                </c:pt>
                <c:pt idx="9">
                  <c:v>1.7605614589933101</c:v>
                </c:pt>
                <c:pt idx="11">
                  <c:v>1.9160055853332429</c:v>
                </c:pt>
                <c:pt idx="12">
                  <c:v>1.6819034384428491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A99D-49DE-A3C4-0BB1C13409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9774712"/>
        <c:axId val="1139779632"/>
      </c:lineChart>
      <c:catAx>
        <c:axId val="2144565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2144561648"/>
        <c:crosses val="autoZero"/>
        <c:auto val="1"/>
        <c:lblAlgn val="ctr"/>
        <c:lblOffset val="100"/>
        <c:noMultiLvlLbl val="0"/>
      </c:catAx>
      <c:valAx>
        <c:axId val="2144561648"/>
        <c:scaling>
          <c:orientation val="minMax"/>
          <c:max val="3800"/>
          <c:min val="0"/>
        </c:scaling>
        <c:delete val="0"/>
        <c:axPos val="l"/>
        <c:numFmt formatCode="_(* #,##0_);_(* \(#,##0\);_(* &quot;-&quot;??_);_(@_)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2144565912"/>
        <c:crosses val="autoZero"/>
        <c:crossBetween val="between"/>
      </c:valAx>
      <c:valAx>
        <c:axId val="1139779632"/>
        <c:scaling>
          <c:orientation val="minMax"/>
          <c:max val="3"/>
          <c:min val="-2"/>
        </c:scaling>
        <c:delete val="0"/>
        <c:axPos val="r"/>
        <c:numFmt formatCode="_-* #,##0.0_-;\-* #,##0.0_-;_-* &quot;-&quot;??_-;_-@_-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1139774712"/>
        <c:crosses val="max"/>
        <c:crossBetween val="between"/>
      </c:valAx>
      <c:catAx>
        <c:axId val="1139774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97796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Arial" panose="020B0604020202020204" pitchFamily="34" charset="0"/>
          <a:cs typeface="Arial" panose="020B060402020202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7" Type="http://schemas.openxmlformats.org/officeDocument/2006/relationships/image" Target="../media/image1.png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chart" Target="../charts/chart13.xml"/><Relationship Id="rId5" Type="http://schemas.openxmlformats.org/officeDocument/2006/relationships/chart" Target="../charts/chart12.xml"/><Relationship Id="rId4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39052</xdr:rowOff>
    </xdr:from>
    <xdr:to>
      <xdr:col>6</xdr:col>
      <xdr:colOff>169050</xdr:colOff>
      <xdr:row>14</xdr:row>
      <xdr:rowOff>27742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8C9F532-AD2F-4B97-9857-52EF5B3C30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533400</xdr:colOff>
      <xdr:row>0</xdr:row>
      <xdr:rowOff>76200</xdr:rowOff>
    </xdr:from>
    <xdr:to>
      <xdr:col>12</xdr:col>
      <xdr:colOff>555605</xdr:colOff>
      <xdr:row>2</xdr:row>
      <xdr:rowOff>94908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A551605-2DA5-4C28-9597-A39578970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62750" y="76200"/>
          <a:ext cx="1237595" cy="451143"/>
        </a:xfrm>
        <a:prstGeom prst="rect">
          <a:avLst/>
        </a:prstGeom>
      </xdr:spPr>
    </xdr:pic>
    <xdr:clientData/>
  </xdr:twoCellAnchor>
  <xdr:twoCellAnchor>
    <xdr:from>
      <xdr:col>6</xdr:col>
      <xdr:colOff>76200</xdr:colOff>
      <xdr:row>3</xdr:row>
      <xdr:rowOff>142875</xdr:rowOff>
    </xdr:from>
    <xdr:to>
      <xdr:col>12</xdr:col>
      <xdr:colOff>378600</xdr:colOff>
      <xdr:row>14</xdr:row>
      <xdr:rowOff>135375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04D9649-540E-4CD9-86E7-3D7D7B8DF3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15</xdr:row>
      <xdr:rowOff>66675</xdr:rowOff>
    </xdr:from>
    <xdr:to>
      <xdr:col>6</xdr:col>
      <xdr:colOff>169050</xdr:colOff>
      <xdr:row>26</xdr:row>
      <xdr:rowOff>49650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76CCA3B-E97D-4714-AF52-36D3CC0BB3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114300</xdr:colOff>
      <xdr:row>15</xdr:row>
      <xdr:rowOff>66675</xdr:rowOff>
    </xdr:from>
    <xdr:to>
      <xdr:col>12</xdr:col>
      <xdr:colOff>416700</xdr:colOff>
      <xdr:row>26</xdr:row>
      <xdr:rowOff>40125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BDE68241-F796-4DD7-8D8B-76FB3762E1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27</xdr:row>
      <xdr:rowOff>28574</xdr:rowOff>
    </xdr:from>
    <xdr:to>
      <xdr:col>6</xdr:col>
      <xdr:colOff>169050</xdr:colOff>
      <xdr:row>38</xdr:row>
      <xdr:rowOff>38100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4AA961FA-B215-447E-93D2-9FA81D604E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123825</xdr:colOff>
      <xdr:row>27</xdr:row>
      <xdr:rowOff>38100</xdr:rowOff>
    </xdr:from>
    <xdr:to>
      <xdr:col>12</xdr:col>
      <xdr:colOff>426225</xdr:colOff>
      <xdr:row>38</xdr:row>
      <xdr:rowOff>43816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79C5F0C2-CA44-49C8-A9DB-FA6E403223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38</xdr:row>
      <xdr:rowOff>180975</xdr:rowOff>
    </xdr:from>
    <xdr:to>
      <xdr:col>6</xdr:col>
      <xdr:colOff>169050</xdr:colOff>
      <xdr:row>50</xdr:row>
      <xdr:rowOff>1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5A1DAE4-D5F8-4879-8EA8-ADCAC07D82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512610</xdr:colOff>
      <xdr:row>6</xdr:row>
      <xdr:rowOff>38845</xdr:rowOff>
    </xdr:from>
    <xdr:to>
      <xdr:col>3</xdr:col>
      <xdr:colOff>129705</xdr:colOff>
      <xdr:row>8</xdr:row>
      <xdr:rowOff>57895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D5B8A865-9FB6-4479-89C0-C82E81B370A1}"/>
            </a:ext>
          </a:extLst>
        </xdr:cNvPr>
        <xdr:cNvSpPr/>
      </xdr:nvSpPr>
      <xdr:spPr>
        <a:xfrm>
          <a:off x="1142088" y="1148715"/>
          <a:ext cx="876052" cy="383484"/>
        </a:xfrm>
        <a:prstGeom prst="ellipse">
          <a:avLst/>
        </a:prstGeom>
        <a:noFill/>
        <a:ln w="19050">
          <a:solidFill>
            <a:srgbClr val="33B3B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pt-BR" sz="800" b="1">
              <a:solidFill>
                <a:srgbClr val="33B3B1"/>
              </a:solidFill>
              <a:latin typeface="Ubuntu" panose="020B0504030602030204" pitchFamily="34" charset="0"/>
            </a:rPr>
            <a:t>CAGR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76199</xdr:rowOff>
    </xdr:from>
    <xdr:to>
      <xdr:col>5</xdr:col>
      <xdr:colOff>109500</xdr:colOff>
      <xdr:row>17</xdr:row>
      <xdr:rowOff>95250</xdr:rowOff>
    </xdr:to>
    <xdr:graphicFrame macro="">
      <xdr:nvGraphicFramePr>
        <xdr:cNvPr id="12" name="Gráfico 1">
          <a:extLst>
            <a:ext uri="{FF2B5EF4-FFF2-40B4-BE49-F238E27FC236}">
              <a16:creationId xmlns:a16="http://schemas.microsoft.com/office/drawing/2014/main" id="{7879D6BB-1774-415E-82D5-77734A546F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161925</xdr:colOff>
      <xdr:row>4</xdr:row>
      <xdr:rowOff>76200</xdr:rowOff>
    </xdr:from>
    <xdr:to>
      <xdr:col>11</xdr:col>
      <xdr:colOff>23775</xdr:colOff>
      <xdr:row>17</xdr:row>
      <xdr:rowOff>94500</xdr:rowOff>
    </xdr:to>
    <xdr:graphicFrame macro="">
      <xdr:nvGraphicFramePr>
        <xdr:cNvPr id="27" name="Gráfico 26">
          <a:extLst>
            <a:ext uri="{FF2B5EF4-FFF2-40B4-BE49-F238E27FC236}">
              <a16:creationId xmlns:a16="http://schemas.microsoft.com/office/drawing/2014/main" id="{2F08139B-BA7B-4D50-85A6-6B683CC8D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19</xdr:row>
      <xdr:rowOff>85725</xdr:rowOff>
    </xdr:from>
    <xdr:to>
      <xdr:col>5</xdr:col>
      <xdr:colOff>109500</xdr:colOff>
      <xdr:row>32</xdr:row>
      <xdr:rowOff>104025</xdr:rowOff>
    </xdr:to>
    <xdr:graphicFrame macro="">
      <xdr:nvGraphicFramePr>
        <xdr:cNvPr id="28" name="Gráfico 27">
          <a:extLst>
            <a:ext uri="{FF2B5EF4-FFF2-40B4-BE49-F238E27FC236}">
              <a16:creationId xmlns:a16="http://schemas.microsoft.com/office/drawing/2014/main" id="{810F36F2-6309-4D28-A040-48C60EB884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171450</xdr:colOff>
      <xdr:row>19</xdr:row>
      <xdr:rowOff>85725</xdr:rowOff>
    </xdr:from>
    <xdr:to>
      <xdr:col>11</xdr:col>
      <xdr:colOff>33300</xdr:colOff>
      <xdr:row>32</xdr:row>
      <xdr:rowOff>104025</xdr:rowOff>
    </xdr:to>
    <xdr:graphicFrame macro="">
      <xdr:nvGraphicFramePr>
        <xdr:cNvPr id="29" name="Gráfico 28">
          <a:extLst>
            <a:ext uri="{FF2B5EF4-FFF2-40B4-BE49-F238E27FC236}">
              <a16:creationId xmlns:a16="http://schemas.microsoft.com/office/drawing/2014/main" id="{2805DE47-4D99-4FCE-A223-96C266DDE3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34</xdr:row>
      <xdr:rowOff>66675</xdr:rowOff>
    </xdr:from>
    <xdr:to>
      <xdr:col>5</xdr:col>
      <xdr:colOff>109500</xdr:colOff>
      <xdr:row>47</xdr:row>
      <xdr:rowOff>99375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1BCE63F4-14EF-4CEB-80E1-FA1FABC0DD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171450</xdr:colOff>
      <xdr:row>34</xdr:row>
      <xdr:rowOff>66675</xdr:rowOff>
    </xdr:from>
    <xdr:to>
      <xdr:col>11</xdr:col>
      <xdr:colOff>33300</xdr:colOff>
      <xdr:row>47</xdr:row>
      <xdr:rowOff>99375</xdr:rowOff>
    </xdr:to>
    <xdr:graphicFrame macro="">
      <xdr:nvGraphicFramePr>
        <xdr:cNvPr id="33" name="Gráfico 32">
          <a:extLst>
            <a:ext uri="{FF2B5EF4-FFF2-40B4-BE49-F238E27FC236}">
              <a16:creationId xmlns:a16="http://schemas.microsoft.com/office/drawing/2014/main" id="{526F7FCF-D7CC-4854-BC13-C599F57D23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9</xdr:col>
      <xdr:colOff>19050</xdr:colOff>
      <xdr:row>0</xdr:row>
      <xdr:rowOff>9525</xdr:rowOff>
    </xdr:from>
    <xdr:to>
      <xdr:col>10</xdr:col>
      <xdr:colOff>608945</xdr:colOff>
      <xdr:row>2</xdr:row>
      <xdr:rowOff>91440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FAE4D85A-E34F-4AD3-A6B6-2D222D6BD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574030" y="9525"/>
          <a:ext cx="1252835" cy="4552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40DB8-A78F-4494-AC35-0E94F8135521}">
  <sheetPr>
    <tabColor theme="4" tint="0.39997558519241921"/>
  </sheetPr>
  <dimension ref="B2:XFD46"/>
  <sheetViews>
    <sheetView showGridLines="0" tabSelected="1" zoomScaleNormal="100" workbookViewId="0">
      <pane xSplit="2" ySplit="5" topLeftCell="AQ6" activePane="bottomRight" state="frozen"/>
      <selection activeCell="D13" sqref="D13"/>
      <selection pane="topRight" activeCell="D13" sqref="D13"/>
      <selection pane="bottomLeft" activeCell="D13" sqref="D13"/>
      <selection pane="bottomRight" activeCell="BA10" sqref="BA10"/>
    </sheetView>
  </sheetViews>
  <sheetFormatPr defaultColWidth="9.109375" defaultRowHeight="13.2" x14ac:dyDescent="0.25"/>
  <cols>
    <col min="1" max="1" width="1.44140625" style="1" customWidth="1"/>
    <col min="2" max="2" width="46.44140625" style="1" customWidth="1"/>
    <col min="3" max="9" width="12.6640625" style="1" customWidth="1"/>
    <col min="10" max="10" width="2.6640625" style="1" customWidth="1"/>
    <col min="11" max="14" width="12.6640625" style="1" customWidth="1"/>
    <col min="15" max="15" width="2.6640625" style="1" customWidth="1"/>
    <col min="16" max="19" width="12.6640625" style="1" customWidth="1"/>
    <col min="20" max="20" width="2.6640625" style="1" customWidth="1"/>
    <col min="21" max="24" width="12.6640625" style="1" customWidth="1"/>
    <col min="25" max="25" width="2.6640625" style="1" customWidth="1"/>
    <col min="26" max="29" width="12.6640625" style="1" customWidth="1"/>
    <col min="30" max="30" width="2.6640625" style="1" customWidth="1"/>
    <col min="31" max="34" width="12.6640625" style="1" customWidth="1"/>
    <col min="35" max="35" width="2.6640625" style="1" customWidth="1"/>
    <col min="36" max="39" width="12.6640625" style="1" customWidth="1"/>
    <col min="40" max="40" width="2.6640625" style="1" customWidth="1"/>
    <col min="41" max="44" width="12.6640625" style="1" customWidth="1"/>
    <col min="45" max="45" width="2.6640625" style="1" customWidth="1"/>
    <col min="46" max="49" width="12.6640625" style="1" customWidth="1"/>
    <col min="50" max="50" width="2.6640625" style="1" customWidth="1"/>
    <col min="51" max="54" width="12.6640625" style="1" customWidth="1"/>
    <col min="55" max="16384" width="9.109375" style="1"/>
  </cols>
  <sheetData>
    <row r="2" spans="2:54 16384:16384" x14ac:dyDescent="0.25">
      <c r="B2" s="2"/>
      <c r="C2" s="3">
        <v>2011</v>
      </c>
      <c r="D2" s="3">
        <v>2012</v>
      </c>
      <c r="E2" s="3">
        <v>2013</v>
      </c>
      <c r="F2" s="3">
        <v>2014</v>
      </c>
      <c r="G2" s="3">
        <v>2015</v>
      </c>
      <c r="H2" s="3">
        <v>2016</v>
      </c>
      <c r="I2" s="3">
        <v>2017</v>
      </c>
      <c r="J2" s="2"/>
      <c r="K2" s="123">
        <v>2018</v>
      </c>
      <c r="L2" s="123"/>
      <c r="M2" s="123"/>
      <c r="N2" s="123"/>
      <c r="O2" s="2"/>
      <c r="P2" s="123">
        <v>2019</v>
      </c>
      <c r="Q2" s="123"/>
      <c r="R2" s="123"/>
      <c r="S2" s="123"/>
      <c r="T2" s="2"/>
      <c r="U2" s="123">
        <v>2020</v>
      </c>
      <c r="V2" s="123"/>
      <c r="W2" s="123"/>
      <c r="X2" s="123"/>
      <c r="Y2" s="2"/>
      <c r="Z2" s="123">
        <v>2021</v>
      </c>
      <c r="AA2" s="123"/>
      <c r="AB2" s="123"/>
      <c r="AC2" s="123"/>
      <c r="AD2" s="2"/>
      <c r="AE2" s="123">
        <v>2022</v>
      </c>
      <c r="AF2" s="123"/>
      <c r="AG2" s="123"/>
      <c r="AH2" s="123"/>
      <c r="AI2" s="2"/>
      <c r="AJ2" s="123">
        <v>2023</v>
      </c>
      <c r="AK2" s="123"/>
      <c r="AL2" s="123"/>
      <c r="AM2" s="123"/>
      <c r="AN2" s="2"/>
      <c r="AO2" s="123">
        <v>2024</v>
      </c>
      <c r="AP2" s="123"/>
      <c r="AQ2" s="123"/>
      <c r="AR2" s="123"/>
      <c r="AS2" s="2"/>
      <c r="AT2" s="123">
        <v>2025</v>
      </c>
      <c r="AU2" s="123"/>
      <c r="AV2" s="123"/>
      <c r="AW2" s="123"/>
      <c r="AY2" s="123">
        <v>2026</v>
      </c>
      <c r="AZ2" s="123"/>
      <c r="BA2" s="123"/>
      <c r="BB2" s="123"/>
    </row>
    <row r="3" spans="2:54 16384:16384" x14ac:dyDescent="0.25">
      <c r="B3" s="2"/>
      <c r="C3" s="4" t="s">
        <v>0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2"/>
      <c r="K3" s="4" t="s">
        <v>7</v>
      </c>
      <c r="L3" s="4" t="s">
        <v>8</v>
      </c>
      <c r="M3" s="4" t="s">
        <v>9</v>
      </c>
      <c r="N3" s="4" t="s">
        <v>10</v>
      </c>
      <c r="O3" s="2"/>
      <c r="P3" s="4" t="s">
        <v>11</v>
      </c>
      <c r="Q3" s="4" t="s">
        <v>12</v>
      </c>
      <c r="R3" s="4" t="s">
        <v>13</v>
      </c>
      <c r="S3" s="4" t="s">
        <v>14</v>
      </c>
      <c r="T3" s="2"/>
      <c r="U3" s="4" t="s">
        <v>15</v>
      </c>
      <c r="V3" s="4" t="s">
        <v>16</v>
      </c>
      <c r="W3" s="4" t="s">
        <v>17</v>
      </c>
      <c r="X3" s="4" t="s">
        <v>18</v>
      </c>
      <c r="Y3" s="2"/>
      <c r="Z3" s="4" t="s">
        <v>19</v>
      </c>
      <c r="AA3" s="4" t="s">
        <v>20</v>
      </c>
      <c r="AB3" s="4" t="s">
        <v>21</v>
      </c>
      <c r="AC3" s="4" t="s">
        <v>221</v>
      </c>
      <c r="AD3" s="2"/>
      <c r="AE3" s="4" t="s">
        <v>227</v>
      </c>
      <c r="AF3" s="4" t="s">
        <v>231</v>
      </c>
      <c r="AG3" s="4" t="s">
        <v>234</v>
      </c>
      <c r="AH3" s="4" t="s">
        <v>238</v>
      </c>
      <c r="AI3" s="2"/>
      <c r="AJ3" s="4" t="s">
        <v>245</v>
      </c>
      <c r="AK3" s="4" t="s">
        <v>246</v>
      </c>
      <c r="AL3" s="4" t="s">
        <v>247</v>
      </c>
      <c r="AM3" s="4" t="s">
        <v>248</v>
      </c>
      <c r="AN3" s="2"/>
      <c r="AO3" s="4" t="s">
        <v>264</v>
      </c>
      <c r="AP3" s="4" t="s">
        <v>265</v>
      </c>
      <c r="AQ3" s="4" t="s">
        <v>266</v>
      </c>
      <c r="AR3" s="4" t="s">
        <v>267</v>
      </c>
      <c r="AS3" s="2"/>
      <c r="AT3" s="4" t="s">
        <v>281</v>
      </c>
      <c r="AU3" s="4" t="s">
        <v>282</v>
      </c>
      <c r="AV3" s="4" t="s">
        <v>283</v>
      </c>
      <c r="AW3" s="4" t="s">
        <v>284</v>
      </c>
      <c r="AY3" s="4" t="s">
        <v>338</v>
      </c>
      <c r="AZ3" s="4" t="s">
        <v>339</v>
      </c>
      <c r="BA3" s="4" t="s">
        <v>340</v>
      </c>
      <c r="BB3" s="4" t="s">
        <v>341</v>
      </c>
    </row>
    <row r="4" spans="2:54 16384:16384" x14ac:dyDescent="0.25">
      <c r="B4" s="2"/>
      <c r="C4" s="2"/>
      <c r="D4" s="2"/>
      <c r="E4" s="2"/>
      <c r="F4" s="2"/>
      <c r="G4" s="2"/>
      <c r="H4" s="2"/>
      <c r="I4" s="2"/>
      <c r="J4" s="5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Y4" s="2"/>
      <c r="AZ4" s="2"/>
      <c r="BA4" s="2"/>
      <c r="BB4" s="2"/>
    </row>
    <row r="5" spans="2:54 16384:16384" ht="15" customHeight="1" thickBot="1" x14ac:dyDescent="0.3">
      <c r="B5" s="6" t="s">
        <v>22</v>
      </c>
      <c r="C5" s="7">
        <v>40908</v>
      </c>
      <c r="D5" s="7">
        <v>41274</v>
      </c>
      <c r="E5" s="7">
        <v>41639</v>
      </c>
      <c r="F5" s="7">
        <v>42004</v>
      </c>
      <c r="G5" s="7">
        <v>42369</v>
      </c>
      <c r="H5" s="7">
        <v>42735</v>
      </c>
      <c r="I5" s="7">
        <v>43100</v>
      </c>
      <c r="J5" s="8"/>
      <c r="K5" s="7">
        <v>43190</v>
      </c>
      <c r="L5" s="7">
        <v>43281</v>
      </c>
      <c r="M5" s="7">
        <v>43373</v>
      </c>
      <c r="N5" s="7">
        <v>43465</v>
      </c>
      <c r="O5" s="6"/>
      <c r="P5" s="7">
        <v>43555</v>
      </c>
      <c r="Q5" s="7">
        <v>43646</v>
      </c>
      <c r="R5" s="7">
        <v>43738</v>
      </c>
      <c r="S5" s="7">
        <v>43830</v>
      </c>
      <c r="T5" s="6"/>
      <c r="U5" s="7">
        <v>43921</v>
      </c>
      <c r="V5" s="7">
        <v>44012</v>
      </c>
      <c r="W5" s="7">
        <v>44104</v>
      </c>
      <c r="X5" s="7">
        <v>44196</v>
      </c>
      <c r="Y5" s="6"/>
      <c r="Z5" s="7">
        <v>44286</v>
      </c>
      <c r="AA5" s="7">
        <v>44377</v>
      </c>
      <c r="AB5" s="7">
        <v>44469</v>
      </c>
      <c r="AC5" s="7">
        <v>44561</v>
      </c>
      <c r="AD5" s="6"/>
      <c r="AE5" s="7">
        <v>44651</v>
      </c>
      <c r="AF5" s="7">
        <v>44742</v>
      </c>
      <c r="AG5" s="7">
        <v>44834</v>
      </c>
      <c r="AH5" s="7">
        <v>44926</v>
      </c>
      <c r="AI5" s="6"/>
      <c r="AJ5" s="7">
        <v>45016</v>
      </c>
      <c r="AK5" s="7">
        <v>45107</v>
      </c>
      <c r="AL5" s="7">
        <v>45199</v>
      </c>
      <c r="AM5" s="7">
        <v>45291</v>
      </c>
      <c r="AN5" s="6"/>
      <c r="AO5" s="7">
        <v>45382</v>
      </c>
      <c r="AP5" s="7">
        <v>45473</v>
      </c>
      <c r="AQ5" s="7">
        <v>45565</v>
      </c>
      <c r="AR5" s="7">
        <v>45657</v>
      </c>
      <c r="AS5" s="6"/>
      <c r="AT5" s="7">
        <v>45747</v>
      </c>
      <c r="AU5" s="7">
        <v>45838</v>
      </c>
      <c r="AV5" s="7">
        <v>45930</v>
      </c>
      <c r="AW5" s="7">
        <v>46022</v>
      </c>
      <c r="AY5" s="7">
        <v>46112</v>
      </c>
      <c r="AZ5" s="7">
        <v>46203</v>
      </c>
      <c r="BA5" s="7">
        <v>46295</v>
      </c>
      <c r="BB5" s="7">
        <v>46387</v>
      </c>
    </row>
    <row r="6" spans="2:54 16384:16384" ht="15" customHeight="1" thickTop="1" x14ac:dyDescent="0.25">
      <c r="B6" s="6"/>
      <c r="C6" s="9"/>
      <c r="D6" s="9"/>
      <c r="E6" s="9"/>
      <c r="F6" s="9"/>
      <c r="G6" s="9"/>
      <c r="H6" s="9"/>
      <c r="I6" s="9"/>
      <c r="J6" s="8"/>
      <c r="K6" s="9"/>
      <c r="L6" s="9"/>
      <c r="M6" s="9"/>
      <c r="N6" s="9"/>
      <c r="O6" s="6"/>
      <c r="P6" s="9"/>
      <c r="Q6" s="9"/>
      <c r="R6" s="9"/>
      <c r="S6" s="9"/>
      <c r="T6" s="6"/>
      <c r="U6" s="9"/>
      <c r="V6" s="9"/>
      <c r="W6" s="9"/>
      <c r="X6" s="9"/>
      <c r="Y6" s="6"/>
      <c r="Z6" s="9"/>
      <c r="AA6" s="9"/>
      <c r="AB6" s="9"/>
      <c r="AC6" s="9"/>
      <c r="AD6" s="6"/>
      <c r="AE6" s="9"/>
      <c r="AF6" s="9"/>
      <c r="AG6" s="9"/>
      <c r="AH6" s="9"/>
      <c r="AI6" s="6"/>
      <c r="AJ6" s="9"/>
      <c r="AK6" s="9"/>
      <c r="AL6" s="9"/>
      <c r="AM6" s="9"/>
      <c r="AN6" s="6"/>
      <c r="AO6" s="9"/>
      <c r="AP6" s="9"/>
      <c r="AQ6" s="9"/>
      <c r="AR6" s="9"/>
      <c r="AS6" s="6"/>
      <c r="AT6" s="9"/>
      <c r="AU6" s="9"/>
      <c r="AV6" s="9"/>
      <c r="AW6" s="9"/>
      <c r="AY6" s="9"/>
      <c r="AZ6" s="9"/>
      <c r="BA6" s="9"/>
      <c r="BB6" s="9"/>
    </row>
    <row r="7" spans="2:54 16384:16384" x14ac:dyDescent="0.25">
      <c r="B7" s="10" t="s">
        <v>23</v>
      </c>
      <c r="C7" s="11">
        <v>251595</v>
      </c>
      <c r="D7" s="11">
        <v>299824</v>
      </c>
      <c r="E7" s="11">
        <v>400965</v>
      </c>
      <c r="F7" s="11">
        <v>459802</v>
      </c>
      <c r="G7" s="11">
        <v>504548</v>
      </c>
      <c r="H7" s="11">
        <v>528142</v>
      </c>
      <c r="I7" s="11">
        <v>607228</v>
      </c>
      <c r="J7" s="12"/>
      <c r="K7" s="11">
        <v>927303</v>
      </c>
      <c r="L7" s="11">
        <v>1121081</v>
      </c>
      <c r="M7" s="11">
        <v>1135234</v>
      </c>
      <c r="N7" s="11">
        <v>772074</v>
      </c>
      <c r="O7" s="10"/>
      <c r="P7" s="11">
        <v>1261547</v>
      </c>
      <c r="Q7" s="11">
        <v>1209756</v>
      </c>
      <c r="R7" s="11">
        <v>1214120</v>
      </c>
      <c r="S7" s="11">
        <v>1146288</v>
      </c>
      <c r="T7" s="10"/>
      <c r="U7" s="11">
        <v>1694427</v>
      </c>
      <c r="V7" s="11">
        <v>1224709</v>
      </c>
      <c r="W7" s="11">
        <v>1607446</v>
      </c>
      <c r="X7" s="11">
        <v>1770014</v>
      </c>
      <c r="Y7" s="10"/>
      <c r="Z7" s="11">
        <v>2535501</v>
      </c>
      <c r="AA7" s="11">
        <v>3079581</v>
      </c>
      <c r="AB7" s="11">
        <v>3555877</v>
      </c>
      <c r="AC7" s="11">
        <v>3354305</v>
      </c>
      <c r="AD7" s="10"/>
      <c r="AE7" s="11">
        <v>3833602</v>
      </c>
      <c r="AF7" s="11">
        <v>4196889</v>
      </c>
      <c r="AG7" s="11">
        <v>4229096</v>
      </c>
      <c r="AH7" s="11">
        <v>4257219</v>
      </c>
      <c r="AI7" s="10"/>
      <c r="AJ7" s="11">
        <v>4452987.6525399992</v>
      </c>
      <c r="AK7" s="11">
        <v>4120910</v>
      </c>
      <c r="AL7" s="11">
        <v>4266606</v>
      </c>
      <c r="AM7" s="11">
        <v>4422008</v>
      </c>
      <c r="AN7" s="10"/>
      <c r="AO7" s="11">
        <v>4849333</v>
      </c>
      <c r="AP7" s="11">
        <v>5878986</v>
      </c>
      <c r="AQ7" s="11">
        <f>SUM(AQ8:AQ10,AQ11:AQ15)</f>
        <v>5873922</v>
      </c>
      <c r="AR7" s="11">
        <f>SUM(AR8:AR10,AR11:AR15)</f>
        <v>5776390</v>
      </c>
      <c r="AS7" s="10"/>
      <c r="AT7" s="11">
        <f>SUM(AT8:AT10,AT11:AT15)</f>
        <v>6427671</v>
      </c>
      <c r="AU7" s="11">
        <f>SUM(AU8:AU10,AU11:AU15)</f>
        <v>7670246</v>
      </c>
      <c r="AV7" s="11">
        <f>SUM(AV8:AV10,AV11:AV15)</f>
        <v>7973507</v>
      </c>
      <c r="AW7" s="11">
        <f>SUM(AW8:AW10,AW11:AW15)</f>
        <v>8134041</v>
      </c>
      <c r="AY7" s="11">
        <f>SUM(AY8:AY10,AY11:AY15)</f>
        <v>9233628</v>
      </c>
      <c r="AZ7" s="11">
        <f>SUM(AZ8:AZ10,AZ11:AZ15)</f>
        <v>8774829</v>
      </c>
      <c r="BA7" s="11">
        <f>SUM(BA8:BA10,BA11:BA15)</f>
        <v>0</v>
      </c>
      <c r="BB7" s="11">
        <f>SUM(BB8:BB10,BB11:BB15)</f>
        <v>0</v>
      </c>
    </row>
    <row r="8" spans="2:54 16384:16384" x14ac:dyDescent="0.25">
      <c r="B8" s="13" t="s">
        <v>24</v>
      </c>
      <c r="C8" s="14">
        <v>19270</v>
      </c>
      <c r="D8" s="14">
        <v>49476</v>
      </c>
      <c r="E8" s="14">
        <v>49705</v>
      </c>
      <c r="F8" s="14">
        <v>37300</v>
      </c>
      <c r="G8" s="14">
        <v>39030</v>
      </c>
      <c r="H8" s="14">
        <v>37252</v>
      </c>
      <c r="I8" s="14">
        <v>35870</v>
      </c>
      <c r="J8" s="13"/>
      <c r="K8" s="14">
        <v>41403</v>
      </c>
      <c r="L8" s="14">
        <v>20448</v>
      </c>
      <c r="M8" s="14">
        <v>61382</v>
      </c>
      <c r="N8" s="14">
        <v>136847</v>
      </c>
      <c r="O8" s="13"/>
      <c r="P8" s="14">
        <v>71307</v>
      </c>
      <c r="Q8" s="14">
        <v>54899</v>
      </c>
      <c r="R8" s="14">
        <v>80420</v>
      </c>
      <c r="S8" s="14">
        <v>168910</v>
      </c>
      <c r="T8" s="13"/>
      <c r="U8" s="14">
        <v>101248</v>
      </c>
      <c r="V8" s="14">
        <v>91402</v>
      </c>
      <c r="W8" s="14">
        <v>135262</v>
      </c>
      <c r="X8" s="14">
        <v>252692</v>
      </c>
      <c r="Y8" s="13"/>
      <c r="Z8" s="14">
        <v>547193</v>
      </c>
      <c r="AA8" s="14">
        <v>161896</v>
      </c>
      <c r="AB8" s="14">
        <v>560333</v>
      </c>
      <c r="AC8" s="14">
        <v>351590</v>
      </c>
      <c r="AD8" s="13"/>
      <c r="AE8" s="14">
        <v>720271</v>
      </c>
      <c r="AF8" s="14">
        <v>500991</v>
      </c>
      <c r="AG8" s="118">
        <v>872401</v>
      </c>
      <c r="AH8" s="118">
        <v>724314</v>
      </c>
      <c r="AI8" s="13"/>
      <c r="AJ8" s="118">
        <v>931919.37277000002</v>
      </c>
      <c r="AK8" s="14">
        <v>646950</v>
      </c>
      <c r="AL8" s="118">
        <v>914435</v>
      </c>
      <c r="AM8" s="118">
        <v>1028483</v>
      </c>
      <c r="AN8" s="13"/>
      <c r="AO8" s="118">
        <v>935238</v>
      </c>
      <c r="AP8" s="118">
        <v>1448705</v>
      </c>
      <c r="AQ8" s="118">
        <v>1635124</v>
      </c>
      <c r="AR8" s="118">
        <v>1696858</v>
      </c>
      <c r="AS8" s="13"/>
      <c r="AT8" s="24">
        <v>1539875</v>
      </c>
      <c r="AU8" s="24">
        <v>1686809</v>
      </c>
      <c r="AV8" s="115">
        <v>2123163</v>
      </c>
      <c r="AW8" s="118">
        <v>2560066</v>
      </c>
      <c r="AY8" s="24">
        <v>2386696</v>
      </c>
      <c r="AZ8" s="115">
        <v>1309345</v>
      </c>
      <c r="BA8" s="115"/>
      <c r="BB8" s="118"/>
    </row>
    <row r="9" spans="2:54 16384:16384" x14ac:dyDescent="0.25">
      <c r="B9" s="13" t="s">
        <v>25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3"/>
      <c r="K9" s="14">
        <v>0</v>
      </c>
      <c r="L9" s="14">
        <v>0</v>
      </c>
      <c r="M9" s="14">
        <v>0</v>
      </c>
      <c r="N9" s="14">
        <v>0</v>
      </c>
      <c r="O9" s="13"/>
      <c r="P9" s="14">
        <v>0</v>
      </c>
      <c r="Q9" s="14">
        <v>0</v>
      </c>
      <c r="R9" s="14">
        <v>0</v>
      </c>
      <c r="S9" s="14">
        <v>0</v>
      </c>
      <c r="T9" s="13"/>
      <c r="U9" s="14">
        <v>0</v>
      </c>
      <c r="V9" s="14">
        <v>0</v>
      </c>
      <c r="W9" s="14">
        <v>0</v>
      </c>
      <c r="X9" s="14">
        <v>0</v>
      </c>
      <c r="Y9" s="13"/>
      <c r="Z9" s="14">
        <v>0</v>
      </c>
      <c r="AA9" s="14">
        <v>0</v>
      </c>
      <c r="AB9" s="14">
        <v>769428</v>
      </c>
      <c r="AC9" s="14">
        <v>739002</v>
      </c>
      <c r="AD9" s="13"/>
      <c r="AE9" s="14">
        <v>590375</v>
      </c>
      <c r="AF9" s="14">
        <v>403780</v>
      </c>
      <c r="AG9" s="118">
        <v>357875</v>
      </c>
      <c r="AH9" s="118">
        <v>154841</v>
      </c>
      <c r="AI9" s="13"/>
      <c r="AJ9" s="118">
        <v>159987.60637999998</v>
      </c>
      <c r="AK9" s="14">
        <v>164897</v>
      </c>
      <c r="AL9" s="118">
        <v>231655</v>
      </c>
      <c r="AM9" s="118">
        <v>197451</v>
      </c>
      <c r="AN9" s="13"/>
      <c r="AO9" s="118">
        <v>146480</v>
      </c>
      <c r="AP9" s="118">
        <v>185149</v>
      </c>
      <c r="AQ9" s="118">
        <v>10793</v>
      </c>
      <c r="AR9" s="118">
        <v>75404</v>
      </c>
      <c r="AS9" s="13"/>
      <c r="AT9" s="24">
        <v>115009</v>
      </c>
      <c r="AU9" s="24">
        <v>159980</v>
      </c>
      <c r="AV9" s="115">
        <v>46513</v>
      </c>
      <c r="AW9" s="168">
        <v>195360</v>
      </c>
      <c r="AY9" s="15">
        <v>203753</v>
      </c>
      <c r="AZ9" s="145">
        <v>112705</v>
      </c>
      <c r="BA9" s="145"/>
      <c r="BB9" s="118"/>
    </row>
    <row r="10" spans="2:54 16384:16384" x14ac:dyDescent="0.25">
      <c r="B10" s="16" t="s">
        <v>294</v>
      </c>
      <c r="C10" s="14">
        <v>68930</v>
      </c>
      <c r="D10" s="14">
        <v>74485</v>
      </c>
      <c r="E10" s="14">
        <v>100332</v>
      </c>
      <c r="F10" s="14">
        <v>149543</v>
      </c>
      <c r="G10" s="14">
        <v>166141</v>
      </c>
      <c r="H10" s="14">
        <v>206358</v>
      </c>
      <c r="I10" s="14">
        <v>244097</v>
      </c>
      <c r="J10" s="13"/>
      <c r="K10" s="14">
        <v>431120</v>
      </c>
      <c r="L10" s="14">
        <v>300313</v>
      </c>
      <c r="M10" s="14">
        <v>316835</v>
      </c>
      <c r="N10" s="14">
        <v>278666</v>
      </c>
      <c r="O10" s="13"/>
      <c r="P10" s="14">
        <v>479114</v>
      </c>
      <c r="Q10" s="14">
        <v>247233</v>
      </c>
      <c r="R10" s="14">
        <v>217094</v>
      </c>
      <c r="S10" s="14">
        <v>394392</v>
      </c>
      <c r="T10" s="13"/>
      <c r="U10" s="14">
        <v>643294</v>
      </c>
      <c r="V10" s="14">
        <v>220228</v>
      </c>
      <c r="W10" s="14">
        <v>515749</v>
      </c>
      <c r="X10" s="14">
        <v>634246</v>
      </c>
      <c r="Y10" s="13"/>
      <c r="Z10" s="14">
        <v>847782</v>
      </c>
      <c r="AA10" s="14">
        <v>68131</v>
      </c>
      <c r="AB10" s="14">
        <v>249281</v>
      </c>
      <c r="AC10" s="14">
        <v>701919</v>
      </c>
      <c r="AD10" s="13"/>
      <c r="AE10" s="14">
        <v>865658</v>
      </c>
      <c r="AF10" s="14">
        <v>192913</v>
      </c>
      <c r="AG10" s="118">
        <v>310559</v>
      </c>
      <c r="AH10" s="118">
        <v>1037931</v>
      </c>
      <c r="AI10" s="13"/>
      <c r="AJ10" s="118">
        <v>998931.8020400001</v>
      </c>
      <c r="AK10" s="14">
        <v>473988</v>
      </c>
      <c r="AL10" s="118">
        <v>567379</v>
      </c>
      <c r="AM10" s="118">
        <v>1238679</v>
      </c>
      <c r="AN10" s="13"/>
      <c r="AO10" s="118">
        <v>1539829</v>
      </c>
      <c r="AP10" s="118">
        <v>747027</v>
      </c>
      <c r="AQ10" s="118">
        <v>865931</v>
      </c>
      <c r="AR10" s="126">
        <v>1396538</v>
      </c>
      <c r="AS10" s="13"/>
      <c r="AT10" s="24">
        <v>1496356</v>
      </c>
      <c r="AU10" s="24">
        <v>1126424</v>
      </c>
      <c r="AV10" s="145">
        <v>1865576</v>
      </c>
      <c r="AW10" s="168">
        <v>2147422</v>
      </c>
      <c r="AY10" s="15">
        <v>2651096</v>
      </c>
      <c r="AZ10" s="145">
        <v>1616842</v>
      </c>
      <c r="BA10" s="145"/>
      <c r="BB10" s="118"/>
    </row>
    <row r="11" spans="2:54 16384:16384" x14ac:dyDescent="0.25">
      <c r="B11" s="13" t="s">
        <v>26</v>
      </c>
      <c r="C11" s="14">
        <v>93441</v>
      </c>
      <c r="D11" s="14">
        <v>80616</v>
      </c>
      <c r="E11" s="14">
        <v>166412</v>
      </c>
      <c r="F11" s="14">
        <v>163159</v>
      </c>
      <c r="G11" s="14">
        <v>190098</v>
      </c>
      <c r="H11" s="14">
        <v>252790</v>
      </c>
      <c r="I11" s="14">
        <v>292143</v>
      </c>
      <c r="J11" s="13"/>
      <c r="K11" s="14">
        <v>365833</v>
      </c>
      <c r="L11" s="14">
        <v>589625</v>
      </c>
      <c r="M11" s="14">
        <v>492785</v>
      </c>
      <c r="N11" s="14">
        <v>282871</v>
      </c>
      <c r="O11" s="13"/>
      <c r="P11" s="14">
        <v>541047</v>
      </c>
      <c r="Q11" s="14">
        <v>697612</v>
      </c>
      <c r="R11" s="14">
        <v>645947</v>
      </c>
      <c r="S11" s="14">
        <v>487036</v>
      </c>
      <c r="T11" s="13"/>
      <c r="U11" s="14">
        <v>842575</v>
      </c>
      <c r="V11" s="14">
        <v>816939</v>
      </c>
      <c r="W11" s="14">
        <v>852388</v>
      </c>
      <c r="X11" s="14">
        <v>783523</v>
      </c>
      <c r="Y11" s="13"/>
      <c r="Z11" s="14">
        <v>949111</v>
      </c>
      <c r="AA11" s="14">
        <v>2494391</v>
      </c>
      <c r="AB11" s="14">
        <v>1818822</v>
      </c>
      <c r="AC11" s="14">
        <v>1426503</v>
      </c>
      <c r="AD11" s="13"/>
      <c r="AE11" s="14">
        <v>1417953</v>
      </c>
      <c r="AF11" s="14">
        <v>2884855</v>
      </c>
      <c r="AG11" s="118">
        <v>2402766</v>
      </c>
      <c r="AH11" s="118">
        <v>2030031</v>
      </c>
      <c r="AI11" s="13"/>
      <c r="AJ11" s="118">
        <v>2059084.5420599999</v>
      </c>
      <c r="AK11" s="14">
        <v>2551994</v>
      </c>
      <c r="AL11" s="118">
        <v>2086615</v>
      </c>
      <c r="AM11" s="118">
        <v>1516014</v>
      </c>
      <c r="AN11" s="13"/>
      <c r="AO11" s="118">
        <v>1857696</v>
      </c>
      <c r="AP11" s="118">
        <v>3086614</v>
      </c>
      <c r="AQ11" s="118">
        <v>2731157</v>
      </c>
      <c r="AR11" s="118">
        <v>1920988</v>
      </c>
      <c r="AS11" s="13"/>
      <c r="AT11" s="24">
        <v>2749063</v>
      </c>
      <c r="AU11" s="24">
        <v>3826264</v>
      </c>
      <c r="AV11" s="115">
        <v>2500191</v>
      </c>
      <c r="AW11" s="168">
        <v>2158891</v>
      </c>
      <c r="AY11" s="15">
        <v>2763892</v>
      </c>
      <c r="AZ11" s="145">
        <v>4216678</v>
      </c>
      <c r="BA11" s="145"/>
      <c r="BB11" s="118"/>
    </row>
    <row r="12" spans="2:54 16384:16384" s="139" customFormat="1" x14ac:dyDescent="0.25">
      <c r="B12" s="16" t="s">
        <v>293</v>
      </c>
      <c r="C12" s="137"/>
      <c r="D12" s="137"/>
      <c r="E12" s="137"/>
      <c r="F12" s="137"/>
      <c r="G12" s="137"/>
      <c r="H12" s="137"/>
      <c r="I12" s="137"/>
      <c r="J12" s="16"/>
      <c r="K12" s="137"/>
      <c r="L12" s="137"/>
      <c r="M12" s="137"/>
      <c r="N12" s="137"/>
      <c r="O12" s="16"/>
      <c r="P12" s="137"/>
      <c r="Q12" s="137"/>
      <c r="R12" s="137"/>
      <c r="S12" s="137"/>
      <c r="T12" s="16"/>
      <c r="U12" s="137"/>
      <c r="V12" s="137"/>
      <c r="W12" s="137"/>
      <c r="X12" s="137"/>
      <c r="Y12" s="16"/>
      <c r="Z12" s="137"/>
      <c r="AA12" s="137"/>
      <c r="AB12" s="137"/>
      <c r="AC12" s="137"/>
      <c r="AD12" s="16"/>
      <c r="AE12" s="137"/>
      <c r="AF12" s="137"/>
      <c r="AG12" s="138"/>
      <c r="AH12" s="138"/>
      <c r="AI12" s="16"/>
      <c r="AJ12" s="138"/>
      <c r="AK12" s="137"/>
      <c r="AL12" s="138"/>
      <c r="AM12" s="138"/>
      <c r="AN12" s="16"/>
      <c r="AO12" s="138"/>
      <c r="AP12" s="138"/>
      <c r="AQ12" s="138"/>
      <c r="AR12" s="118">
        <v>41909</v>
      </c>
      <c r="AS12" s="16"/>
      <c r="AT12" s="24">
        <v>40754</v>
      </c>
      <c r="AU12" s="24">
        <v>5398</v>
      </c>
      <c r="AV12" s="115">
        <v>65343</v>
      </c>
      <c r="AW12" s="145">
        <v>7866</v>
      </c>
      <c r="AY12" s="15">
        <v>12826</v>
      </c>
      <c r="AZ12" s="145">
        <v>55086</v>
      </c>
      <c r="BA12" s="145"/>
      <c r="BB12" s="115"/>
    </row>
    <row r="13" spans="2:54 16384:16384" x14ac:dyDescent="0.25">
      <c r="B13" s="13" t="s">
        <v>27</v>
      </c>
      <c r="C13" s="14">
        <v>2542</v>
      </c>
      <c r="D13" s="14">
        <v>4259</v>
      </c>
      <c r="E13" s="14">
        <v>8174</v>
      </c>
      <c r="F13" s="14">
        <v>20961</v>
      </c>
      <c r="G13" s="14">
        <v>22259</v>
      </c>
      <c r="H13" s="14">
        <v>5574</v>
      </c>
      <c r="I13" s="14">
        <v>10261</v>
      </c>
      <c r="J13" s="13"/>
      <c r="K13" s="14">
        <v>16944</v>
      </c>
      <c r="L13" s="14">
        <v>28629</v>
      </c>
      <c r="M13" s="14">
        <v>42501</v>
      </c>
      <c r="N13" s="14">
        <v>18466</v>
      </c>
      <c r="O13" s="13"/>
      <c r="P13" s="14">
        <v>24588</v>
      </c>
      <c r="Q13" s="14">
        <v>35736</v>
      </c>
      <c r="R13" s="14">
        <v>30100</v>
      </c>
      <c r="S13" s="14">
        <v>27591</v>
      </c>
      <c r="T13" s="13"/>
      <c r="U13" s="14">
        <v>34539</v>
      </c>
      <c r="V13" s="14">
        <v>42114</v>
      </c>
      <c r="W13" s="14">
        <v>53445</v>
      </c>
      <c r="X13" s="14">
        <v>45169</v>
      </c>
      <c r="Y13" s="13"/>
      <c r="Z13" s="14">
        <v>45140</v>
      </c>
      <c r="AA13" s="14">
        <v>50576</v>
      </c>
      <c r="AB13" s="14">
        <v>67794</v>
      </c>
      <c r="AC13" s="14">
        <v>63576</v>
      </c>
      <c r="AD13" s="13"/>
      <c r="AE13" s="14">
        <v>84454</v>
      </c>
      <c r="AF13" s="14">
        <v>122568</v>
      </c>
      <c r="AG13" s="118">
        <v>180087</v>
      </c>
      <c r="AH13" s="118">
        <v>134967</v>
      </c>
      <c r="AI13" s="13"/>
      <c r="AJ13" s="15">
        <v>147690</v>
      </c>
      <c r="AK13" s="14">
        <v>135599</v>
      </c>
      <c r="AL13" s="118">
        <v>180116</v>
      </c>
      <c r="AM13" s="118">
        <v>207054</v>
      </c>
      <c r="AN13" s="13"/>
      <c r="AO13" s="15">
        <v>220938</v>
      </c>
      <c r="AP13" s="15">
        <v>213212</v>
      </c>
      <c r="AQ13" s="15">
        <v>227302</v>
      </c>
      <c r="AR13" s="118">
        <v>167431</v>
      </c>
      <c r="AS13" s="13"/>
      <c r="AT13" s="24">
        <v>120040</v>
      </c>
      <c r="AU13" s="24">
        <v>255342</v>
      </c>
      <c r="AV13" s="115">
        <v>334095</v>
      </c>
      <c r="AW13" s="145">
        <v>325253</v>
      </c>
      <c r="AY13" s="15">
        <v>351595</v>
      </c>
      <c r="AZ13" s="145">
        <v>368540</v>
      </c>
      <c r="BA13" s="145"/>
      <c r="BB13" s="115"/>
    </row>
    <row r="14" spans="2:54 16384:16384" x14ac:dyDescent="0.25">
      <c r="B14" s="13" t="s">
        <v>28</v>
      </c>
      <c r="C14" s="14">
        <v>775</v>
      </c>
      <c r="D14" s="14">
        <v>1661</v>
      </c>
      <c r="E14" s="14">
        <v>2141</v>
      </c>
      <c r="F14" s="14">
        <v>4804</v>
      </c>
      <c r="G14" s="14">
        <v>699</v>
      </c>
      <c r="H14" s="14">
        <v>502</v>
      </c>
      <c r="I14" s="14">
        <v>1342</v>
      </c>
      <c r="J14" s="13"/>
      <c r="K14" s="14">
        <v>2811</v>
      </c>
      <c r="L14" s="14">
        <v>1919</v>
      </c>
      <c r="M14" s="14">
        <v>4201</v>
      </c>
      <c r="N14" s="14">
        <v>899</v>
      </c>
      <c r="O14" s="13"/>
      <c r="P14" s="14">
        <v>7291</v>
      </c>
      <c r="Q14" s="14">
        <v>8114</v>
      </c>
      <c r="R14" s="14">
        <v>10679</v>
      </c>
      <c r="S14" s="14">
        <v>3753</v>
      </c>
      <c r="T14" s="13"/>
      <c r="U14" s="14">
        <v>11253</v>
      </c>
      <c r="V14" s="14">
        <v>790</v>
      </c>
      <c r="W14" s="14">
        <v>664</v>
      </c>
      <c r="X14" s="14">
        <v>1395</v>
      </c>
      <c r="Y14" s="13"/>
      <c r="Z14" s="14">
        <v>10796</v>
      </c>
      <c r="AA14" s="14">
        <v>23411</v>
      </c>
      <c r="AB14" s="14">
        <v>20191</v>
      </c>
      <c r="AC14" s="14">
        <v>9662</v>
      </c>
      <c r="AD14" s="13"/>
      <c r="AE14" s="14">
        <v>7908</v>
      </c>
      <c r="AF14" s="14">
        <v>16795</v>
      </c>
      <c r="AG14" s="118">
        <v>3839</v>
      </c>
      <c r="AH14" s="118">
        <v>5955</v>
      </c>
      <c r="AI14" s="13"/>
      <c r="AJ14" s="118">
        <v>12121</v>
      </c>
      <c r="AK14" s="14">
        <v>13580</v>
      </c>
      <c r="AL14" s="118">
        <v>10132</v>
      </c>
      <c r="AM14" s="118">
        <v>9525</v>
      </c>
      <c r="AN14" s="13"/>
      <c r="AO14" s="118">
        <v>11495</v>
      </c>
      <c r="AP14" s="118">
        <v>5447</v>
      </c>
      <c r="AQ14" s="118">
        <v>15828</v>
      </c>
      <c r="AR14" s="118">
        <v>8829</v>
      </c>
      <c r="AS14" s="13"/>
      <c r="AT14" s="24">
        <v>8006</v>
      </c>
      <c r="AU14" s="24">
        <v>16796</v>
      </c>
      <c r="AV14" s="115">
        <v>78833</v>
      </c>
      <c r="AW14" s="168">
        <v>62348</v>
      </c>
      <c r="AY14" s="15">
        <v>149538</v>
      </c>
      <c r="AZ14" s="145">
        <v>182472</v>
      </c>
      <c r="BA14" s="145"/>
      <c r="BB14" s="118"/>
    </row>
    <row r="15" spans="2:54 16384:16384" s="156" customFormat="1" x14ac:dyDescent="0.25">
      <c r="B15" s="10" t="s">
        <v>29</v>
      </c>
      <c r="C15" s="154">
        <f t="shared" ref="C15:I15" si="0">SUM(C16:C19)</f>
        <v>66637</v>
      </c>
      <c r="D15" s="154">
        <f t="shared" si="0"/>
        <v>89327</v>
      </c>
      <c r="E15" s="154">
        <f t="shared" si="0"/>
        <v>74201</v>
      </c>
      <c r="F15" s="154">
        <f t="shared" si="0"/>
        <v>84035</v>
      </c>
      <c r="G15" s="154">
        <f t="shared" si="0"/>
        <v>86321</v>
      </c>
      <c r="H15" s="154">
        <f t="shared" si="0"/>
        <v>25666</v>
      </c>
      <c r="I15" s="154">
        <f t="shared" si="0"/>
        <v>23515</v>
      </c>
      <c r="J15" s="10"/>
      <c r="K15" s="154">
        <v>69192</v>
      </c>
      <c r="L15" s="154">
        <v>180147</v>
      </c>
      <c r="M15" s="154">
        <v>217530</v>
      </c>
      <c r="N15" s="154">
        <v>54325</v>
      </c>
      <c r="O15" s="10"/>
      <c r="P15" s="154">
        <v>138200</v>
      </c>
      <c r="Q15" s="154">
        <v>166162</v>
      </c>
      <c r="R15" s="154">
        <v>229880</v>
      </c>
      <c r="S15" s="154">
        <v>64606</v>
      </c>
      <c r="T15" s="10"/>
      <c r="U15" s="154">
        <v>61518</v>
      </c>
      <c r="V15" s="154">
        <v>53236</v>
      </c>
      <c r="W15" s="154">
        <v>49938</v>
      </c>
      <c r="X15" s="154">
        <v>52989</v>
      </c>
      <c r="Y15" s="10"/>
      <c r="Z15" s="154">
        <v>135479</v>
      </c>
      <c r="AA15" s="154">
        <v>281176</v>
      </c>
      <c r="AB15" s="154">
        <v>70028</v>
      </c>
      <c r="AC15" s="154">
        <v>62053</v>
      </c>
      <c r="AD15" s="10"/>
      <c r="AE15" s="154">
        <v>146983</v>
      </c>
      <c r="AF15" s="154">
        <v>74987</v>
      </c>
      <c r="AG15" s="154">
        <v>101569</v>
      </c>
      <c r="AH15" s="154">
        <v>169180</v>
      </c>
      <c r="AI15" s="10"/>
      <c r="AJ15" s="154">
        <v>143253.32928999997</v>
      </c>
      <c r="AK15" s="154">
        <v>133902</v>
      </c>
      <c r="AL15" s="155">
        <v>276274</v>
      </c>
      <c r="AM15" s="154">
        <v>224802</v>
      </c>
      <c r="AN15" s="10"/>
      <c r="AO15" s="154">
        <v>137657</v>
      </c>
      <c r="AP15" s="154">
        <v>192832</v>
      </c>
      <c r="AQ15" s="154">
        <f>SUM(AQ16:AQ19)</f>
        <v>387787</v>
      </c>
      <c r="AR15" s="154">
        <f>SUM(AR16:AR19)</f>
        <v>468433</v>
      </c>
      <c r="AS15" s="10"/>
      <c r="AT15" s="154">
        <f>SUM(AT16:AT19)</f>
        <v>358568</v>
      </c>
      <c r="AU15" s="154">
        <f>SUM(AU16:AU19)</f>
        <v>593233</v>
      </c>
      <c r="AV15" s="154">
        <f>SUM(AV16:AV19)</f>
        <v>959793</v>
      </c>
      <c r="AW15" s="153">
        <f>SUM(AW16:AW19)</f>
        <v>676835</v>
      </c>
      <c r="AY15" s="153">
        <f>SUM(AY16:AY19)</f>
        <v>714232</v>
      </c>
      <c r="AZ15" s="153">
        <f>SUM(AZ16:AZ19)</f>
        <v>913161</v>
      </c>
      <c r="BA15" s="153">
        <f>SUM(BA16:BA19)</f>
        <v>0</v>
      </c>
      <c r="BB15" s="154">
        <f>SUM(BB16:BB19)</f>
        <v>0</v>
      </c>
      <c r="XFD15" s="154"/>
    </row>
    <row r="16" spans="2:54 16384:16384" x14ac:dyDescent="0.25">
      <c r="B16" s="17" t="s">
        <v>30</v>
      </c>
      <c r="C16" s="14">
        <v>17320</v>
      </c>
      <c r="D16" s="14">
        <v>9347</v>
      </c>
      <c r="E16" s="14">
        <v>6603</v>
      </c>
      <c r="F16" s="14">
        <v>19203</v>
      </c>
      <c r="G16" s="14">
        <v>9084</v>
      </c>
      <c r="H16" s="14">
        <v>5853</v>
      </c>
      <c r="I16" s="14">
        <v>6735</v>
      </c>
      <c r="J16" s="13"/>
      <c r="K16" s="14">
        <v>5900</v>
      </c>
      <c r="L16" s="14">
        <v>102294</v>
      </c>
      <c r="M16" s="14">
        <v>94973</v>
      </c>
      <c r="N16" s="14">
        <v>7733</v>
      </c>
      <c r="O16" s="13"/>
      <c r="P16" s="14">
        <v>34114</v>
      </c>
      <c r="Q16" s="14">
        <v>55888</v>
      </c>
      <c r="R16" s="14">
        <v>73136</v>
      </c>
      <c r="S16" s="14">
        <v>18123</v>
      </c>
      <c r="T16" s="13"/>
      <c r="U16" s="18">
        <v>15531</v>
      </c>
      <c r="V16" s="18">
        <v>20002</v>
      </c>
      <c r="W16" s="14">
        <v>21854</v>
      </c>
      <c r="X16" s="14">
        <v>12392</v>
      </c>
      <c r="Y16" s="13"/>
      <c r="Z16" s="14">
        <v>3845</v>
      </c>
      <c r="AA16" s="14">
        <v>7445</v>
      </c>
      <c r="AB16" s="14">
        <v>4777</v>
      </c>
      <c r="AC16" s="14">
        <v>686</v>
      </c>
      <c r="AD16" s="13"/>
      <c r="AE16" s="14">
        <v>143</v>
      </c>
      <c r="AF16" s="14">
        <v>607</v>
      </c>
      <c r="AG16" s="118">
        <v>1088</v>
      </c>
      <c r="AH16" s="118">
        <v>9470</v>
      </c>
      <c r="AI16" s="13"/>
      <c r="AJ16" s="118">
        <v>4389.1738900000009</v>
      </c>
      <c r="AK16" s="14">
        <v>8822</v>
      </c>
      <c r="AL16" s="118">
        <v>592</v>
      </c>
      <c r="AM16" s="118">
        <v>1649</v>
      </c>
      <c r="AN16" s="13"/>
      <c r="AO16" s="118">
        <v>900</v>
      </c>
      <c r="AP16" s="118">
        <v>1550</v>
      </c>
      <c r="AQ16" s="118">
        <v>1215</v>
      </c>
      <c r="AR16" s="118">
        <v>3934</v>
      </c>
      <c r="AS16" s="13"/>
      <c r="AT16" s="24">
        <v>3674</v>
      </c>
      <c r="AU16" s="118">
        <v>2099</v>
      </c>
      <c r="AV16" s="115">
        <v>327985</v>
      </c>
      <c r="AW16" s="168">
        <v>129283</v>
      </c>
      <c r="AY16" s="15">
        <v>161571</v>
      </c>
      <c r="AZ16" s="168">
        <v>409086</v>
      </c>
      <c r="BA16" s="145"/>
      <c r="BB16" s="118"/>
    </row>
    <row r="17" spans="2:54" x14ac:dyDescent="0.25">
      <c r="B17" s="17" t="s">
        <v>237</v>
      </c>
      <c r="C17" s="14">
        <v>49265</v>
      </c>
      <c r="D17" s="14">
        <v>79930</v>
      </c>
      <c r="E17" s="14">
        <v>67216</v>
      </c>
      <c r="F17" s="14">
        <v>50827</v>
      </c>
      <c r="G17" s="14">
        <v>70747</v>
      </c>
      <c r="H17" s="14">
        <v>8720</v>
      </c>
      <c r="I17" s="14">
        <v>2614</v>
      </c>
      <c r="J17" s="13"/>
      <c r="K17" s="14">
        <v>47452</v>
      </c>
      <c r="L17" s="14">
        <v>64359</v>
      </c>
      <c r="M17" s="14">
        <v>109350</v>
      </c>
      <c r="N17" s="14">
        <v>19848</v>
      </c>
      <c r="O17" s="13"/>
      <c r="P17" s="14">
        <v>79510</v>
      </c>
      <c r="Q17" s="14">
        <v>72937</v>
      </c>
      <c r="R17" s="14">
        <v>104789</v>
      </c>
      <c r="S17" s="14">
        <v>13888</v>
      </c>
      <c r="T17" s="13"/>
      <c r="U17" s="18">
        <v>1450</v>
      </c>
      <c r="V17" s="18">
        <v>12367</v>
      </c>
      <c r="W17" s="14">
        <v>14110</v>
      </c>
      <c r="X17" s="14">
        <v>6869</v>
      </c>
      <c r="Y17" s="13"/>
      <c r="Z17" s="14">
        <v>86194</v>
      </c>
      <c r="AA17" s="14">
        <v>231065</v>
      </c>
      <c r="AB17" s="14">
        <v>29801</v>
      </c>
      <c r="AC17" s="14">
        <v>25089</v>
      </c>
      <c r="AD17" s="13"/>
      <c r="AE17" s="14">
        <v>95693</v>
      </c>
      <c r="AF17" s="14">
        <v>17293</v>
      </c>
      <c r="AG17" s="24">
        <v>47599</v>
      </c>
      <c r="AH17" s="24">
        <v>83048</v>
      </c>
      <c r="AI17" s="13"/>
      <c r="AJ17" s="24">
        <v>53593.38121</v>
      </c>
      <c r="AK17" s="14">
        <v>43820</v>
      </c>
      <c r="AL17" s="24">
        <v>195506</v>
      </c>
      <c r="AM17" s="24">
        <v>166912</v>
      </c>
      <c r="AN17" s="13"/>
      <c r="AO17" s="24">
        <v>66853</v>
      </c>
      <c r="AP17" s="24">
        <v>126330</v>
      </c>
      <c r="AQ17" s="24">
        <v>314865</v>
      </c>
      <c r="AR17" s="24">
        <v>402092</v>
      </c>
      <c r="AS17" s="13"/>
      <c r="AT17" s="24">
        <v>294367</v>
      </c>
      <c r="AU17" s="24">
        <v>528823</v>
      </c>
      <c r="AV17" s="115">
        <v>568600</v>
      </c>
      <c r="AW17" s="15">
        <v>508095</v>
      </c>
      <c r="AY17" s="15">
        <v>502535</v>
      </c>
      <c r="AZ17" s="15">
        <v>451485</v>
      </c>
      <c r="BA17" s="145"/>
      <c r="BB17" s="24"/>
    </row>
    <row r="18" spans="2:54" x14ac:dyDescent="0.25">
      <c r="B18" s="17" t="s">
        <v>31</v>
      </c>
      <c r="C18" s="14">
        <v>0</v>
      </c>
      <c r="D18" s="14">
        <v>0</v>
      </c>
      <c r="E18" s="14">
        <v>0</v>
      </c>
      <c r="F18" s="14">
        <v>0</v>
      </c>
      <c r="G18" s="14">
        <v>5846</v>
      </c>
      <c r="H18" s="14">
        <v>7381</v>
      </c>
      <c r="I18" s="14">
        <v>8944</v>
      </c>
      <c r="J18" s="13"/>
      <c r="K18" s="14">
        <v>8946</v>
      </c>
      <c r="L18" s="14">
        <v>8944</v>
      </c>
      <c r="M18" s="14">
        <v>8942</v>
      </c>
      <c r="N18" s="14">
        <v>8944</v>
      </c>
      <c r="O18" s="13"/>
      <c r="P18" s="14">
        <v>8944</v>
      </c>
      <c r="Q18" s="14">
        <v>8944</v>
      </c>
      <c r="R18" s="14">
        <v>8944</v>
      </c>
      <c r="S18" s="14">
        <v>8944</v>
      </c>
      <c r="T18" s="13"/>
      <c r="U18" s="14">
        <v>8944</v>
      </c>
      <c r="V18" s="14">
        <v>8944</v>
      </c>
      <c r="W18" s="14">
        <v>8944</v>
      </c>
      <c r="X18" s="14">
        <v>7267</v>
      </c>
      <c r="Y18" s="13"/>
      <c r="Z18" s="14">
        <v>7488</v>
      </c>
      <c r="AA18" s="14">
        <v>7629</v>
      </c>
      <c r="AB18" s="14">
        <v>7841</v>
      </c>
      <c r="AC18" s="14">
        <v>5733</v>
      </c>
      <c r="AD18" s="13"/>
      <c r="AE18" s="14">
        <v>5879</v>
      </c>
      <c r="AF18" s="14">
        <v>6057</v>
      </c>
      <c r="AG18" s="118">
        <v>6035</v>
      </c>
      <c r="AH18" s="118">
        <v>16490</v>
      </c>
      <c r="AI18" s="13"/>
      <c r="AJ18" s="118">
        <v>16820.252479999999</v>
      </c>
      <c r="AK18" s="14">
        <v>17082</v>
      </c>
      <c r="AL18" s="118">
        <v>17128</v>
      </c>
      <c r="AM18" s="118">
        <v>13467</v>
      </c>
      <c r="AN18" s="13"/>
      <c r="AO18" s="118">
        <v>13504</v>
      </c>
      <c r="AP18" s="118">
        <v>13639</v>
      </c>
      <c r="AQ18" s="118">
        <v>13717</v>
      </c>
      <c r="AR18" s="126">
        <v>9909</v>
      </c>
      <c r="AS18" s="13"/>
      <c r="AT18" s="24">
        <v>10103</v>
      </c>
      <c r="AU18" s="118">
        <v>10229</v>
      </c>
      <c r="AV18" s="115">
        <v>10269</v>
      </c>
      <c r="AW18" s="126">
        <v>0</v>
      </c>
      <c r="AY18" s="126">
        <v>0</v>
      </c>
      <c r="AZ18" s="126">
        <v>0</v>
      </c>
      <c r="BA18" s="145"/>
      <c r="BB18" s="18"/>
    </row>
    <row r="19" spans="2:54" x14ac:dyDescent="0.25">
      <c r="B19" s="140" t="s">
        <v>130</v>
      </c>
      <c r="C19" s="14">
        <v>52</v>
      </c>
      <c r="D19" s="14">
        <v>50</v>
      </c>
      <c r="E19" s="14">
        <v>382</v>
      </c>
      <c r="F19" s="14">
        <v>14005</v>
      </c>
      <c r="G19" s="14">
        <v>644</v>
      </c>
      <c r="H19" s="14">
        <v>3712</v>
      </c>
      <c r="I19" s="14">
        <v>5222</v>
      </c>
      <c r="J19" s="13"/>
      <c r="K19" s="14">
        <v>6894</v>
      </c>
      <c r="L19" s="14">
        <v>4550</v>
      </c>
      <c r="M19" s="14">
        <v>4265</v>
      </c>
      <c r="N19" s="14">
        <v>17800</v>
      </c>
      <c r="O19" s="13"/>
      <c r="P19" s="14">
        <v>15632</v>
      </c>
      <c r="Q19" s="14">
        <v>28393</v>
      </c>
      <c r="R19" s="14">
        <v>43011</v>
      </c>
      <c r="S19" s="14">
        <v>23651</v>
      </c>
      <c r="T19" s="13"/>
      <c r="U19" s="14">
        <v>35593</v>
      </c>
      <c r="V19" s="14">
        <v>11923</v>
      </c>
      <c r="W19" s="14">
        <v>5030</v>
      </c>
      <c r="X19" s="14">
        <v>26461</v>
      </c>
      <c r="Y19" s="13"/>
      <c r="Z19" s="14">
        <v>37952</v>
      </c>
      <c r="AA19" s="14">
        <v>35037</v>
      </c>
      <c r="AB19" s="14">
        <v>27609</v>
      </c>
      <c r="AC19" s="14">
        <v>30545</v>
      </c>
      <c r="AD19" s="13"/>
      <c r="AE19" s="14">
        <v>45268</v>
      </c>
      <c r="AF19" s="14">
        <v>51030</v>
      </c>
      <c r="AG19" s="118">
        <v>46847</v>
      </c>
      <c r="AH19" s="118">
        <v>60172</v>
      </c>
      <c r="AI19" s="13"/>
      <c r="AJ19" s="118">
        <v>68450.695599999977</v>
      </c>
      <c r="AK19" s="14">
        <v>64178</v>
      </c>
      <c r="AL19" s="118">
        <v>63048</v>
      </c>
      <c r="AM19" s="118">
        <v>42774</v>
      </c>
      <c r="AN19" s="13"/>
      <c r="AO19" s="118">
        <v>56400</v>
      </c>
      <c r="AP19" s="118">
        <v>51313</v>
      </c>
      <c r="AQ19" s="118">
        <v>57990</v>
      </c>
      <c r="AR19" s="118">
        <v>52498</v>
      </c>
      <c r="AS19" s="13"/>
      <c r="AT19" s="24">
        <v>50424</v>
      </c>
      <c r="AU19" s="118">
        <v>52082</v>
      </c>
      <c r="AV19" s="115">
        <v>52939</v>
      </c>
      <c r="AW19" s="168">
        <v>39457</v>
      </c>
      <c r="AY19" s="15">
        <v>50126</v>
      </c>
      <c r="AZ19" s="168">
        <v>52590</v>
      </c>
      <c r="BA19" s="145"/>
      <c r="BB19" s="118"/>
    </row>
    <row r="20" spans="2:54" x14ac:dyDescent="0.25">
      <c r="R20" s="19"/>
      <c r="S20" s="19"/>
      <c r="AP20" s="18"/>
      <c r="AQ20" s="18"/>
      <c r="AU20" s="18"/>
      <c r="AV20" s="18"/>
      <c r="AZ20" s="126"/>
      <c r="BA20" s="126"/>
    </row>
    <row r="21" spans="2:54" x14ac:dyDescent="0.25">
      <c r="B21" s="10" t="s">
        <v>32</v>
      </c>
      <c r="C21" s="11">
        <v>142060</v>
      </c>
      <c r="D21" s="11">
        <v>183523</v>
      </c>
      <c r="E21" s="11">
        <v>218862</v>
      </c>
      <c r="F21" s="11">
        <v>244281</v>
      </c>
      <c r="G21" s="11">
        <v>278932</v>
      </c>
      <c r="H21" s="11">
        <v>260518</v>
      </c>
      <c r="I21" s="11">
        <v>281879</v>
      </c>
      <c r="J21" s="10"/>
      <c r="K21" s="11">
        <v>282311</v>
      </c>
      <c r="L21" s="11">
        <v>282750</v>
      </c>
      <c r="M21" s="11">
        <v>286271</v>
      </c>
      <c r="N21" s="11">
        <v>376759</v>
      </c>
      <c r="O21" s="10"/>
      <c r="P21" s="11">
        <v>318398</v>
      </c>
      <c r="Q21" s="11">
        <v>347429</v>
      </c>
      <c r="R21" s="11">
        <v>362178</v>
      </c>
      <c r="S21" s="11">
        <v>491326</v>
      </c>
      <c r="T21" s="10"/>
      <c r="U21" s="11">
        <v>519257</v>
      </c>
      <c r="V21" s="11">
        <v>537267</v>
      </c>
      <c r="W21" s="11">
        <v>549567</v>
      </c>
      <c r="X21" s="11">
        <v>551359</v>
      </c>
      <c r="Y21" s="10"/>
      <c r="Z21" s="11">
        <v>598441</v>
      </c>
      <c r="AA21" s="11">
        <v>651766</v>
      </c>
      <c r="AB21" s="11">
        <v>797259</v>
      </c>
      <c r="AC21" s="11">
        <v>1041296</v>
      </c>
      <c r="AD21" s="10"/>
      <c r="AE21" s="11">
        <v>1182922</v>
      </c>
      <c r="AF21" s="11">
        <v>1329257.0217500001</v>
      </c>
      <c r="AG21" s="11">
        <v>1598937</v>
      </c>
      <c r="AH21" s="11">
        <v>1824770</v>
      </c>
      <c r="AI21" s="10"/>
      <c r="AJ21" s="11">
        <v>1983047.0594600001</v>
      </c>
      <c r="AK21" s="11">
        <v>2141793</v>
      </c>
      <c r="AL21" s="11">
        <v>2356053</v>
      </c>
      <c r="AM21" s="11">
        <v>2461781</v>
      </c>
      <c r="AN21" s="10"/>
      <c r="AO21" s="11">
        <v>2593178</v>
      </c>
      <c r="AP21" s="61">
        <v>2651233</v>
      </c>
      <c r="AQ21" s="61">
        <f>SUM(AQ23:AQ34,AQ37)</f>
        <v>2664887</v>
      </c>
      <c r="AR21" s="61">
        <f>SUM(AR22:AR34,AR37)</f>
        <v>3113033</v>
      </c>
      <c r="AS21" s="10"/>
      <c r="AT21" s="61">
        <f>SUM(AT22:AT34,AT37,AT38)</f>
        <v>3405682</v>
      </c>
      <c r="AU21" s="61">
        <f>SUM(AU22:AU34,AU37,AU38)</f>
        <v>3914162</v>
      </c>
      <c r="AV21" s="61">
        <f>SUM(AV22:AV34,AV37,AV38)</f>
        <v>4408046</v>
      </c>
      <c r="AW21" s="153">
        <f>SUM(AW22:AW34,AW37,AW38)</f>
        <v>4970314</v>
      </c>
      <c r="AY21" s="153">
        <f>SUM(AY22:AY34,AY37,AY38)</f>
        <v>5412463</v>
      </c>
      <c r="AZ21" s="153">
        <f>SUM(AZ22:AZ34,AZ37,AZ38)</f>
        <v>5705269</v>
      </c>
      <c r="BA21" s="153">
        <f>SUM(BA22:BA34,BA37,BA38)</f>
        <v>0</v>
      </c>
      <c r="BB21" s="61">
        <f>SUM(BB22:BB34,BB37,BB38)</f>
        <v>0</v>
      </c>
    </row>
    <row r="22" spans="2:54" x14ac:dyDescent="0.25">
      <c r="B22" s="16" t="s">
        <v>293</v>
      </c>
      <c r="C22" s="11"/>
      <c r="D22" s="11"/>
      <c r="E22" s="11"/>
      <c r="F22" s="11"/>
      <c r="G22" s="11"/>
      <c r="H22" s="11"/>
      <c r="I22" s="11"/>
      <c r="J22" s="10"/>
      <c r="K22" s="11"/>
      <c r="L22" s="11"/>
      <c r="M22" s="11"/>
      <c r="N22" s="11"/>
      <c r="O22" s="10"/>
      <c r="P22" s="11"/>
      <c r="Q22" s="11"/>
      <c r="R22" s="11"/>
      <c r="S22" s="11"/>
      <c r="T22" s="10"/>
      <c r="U22" s="11"/>
      <c r="V22" s="11"/>
      <c r="W22" s="11"/>
      <c r="X22" s="11"/>
      <c r="Y22" s="10"/>
      <c r="Z22" s="11"/>
      <c r="AA22" s="11"/>
      <c r="AB22" s="11"/>
      <c r="AC22" s="11"/>
      <c r="AD22" s="10"/>
      <c r="AE22" s="11"/>
      <c r="AF22" s="11"/>
      <c r="AG22" s="11"/>
      <c r="AH22" s="11"/>
      <c r="AI22" s="10"/>
      <c r="AJ22" s="11"/>
      <c r="AK22" s="11"/>
      <c r="AL22" s="11"/>
      <c r="AM22" s="11"/>
      <c r="AN22" s="10"/>
      <c r="AO22" s="11"/>
      <c r="AP22" s="61"/>
      <c r="AQ22" s="61"/>
      <c r="AR22" s="18">
        <v>146604</v>
      </c>
      <c r="AS22" s="10"/>
      <c r="AT22" s="24">
        <v>150987</v>
      </c>
      <c r="AU22" s="18">
        <v>105353</v>
      </c>
      <c r="AV22" s="115">
        <v>109256</v>
      </c>
      <c r="AW22" s="126">
        <v>113181</v>
      </c>
      <c r="AY22" s="15">
        <v>114494</v>
      </c>
      <c r="AZ22" s="126">
        <v>114494</v>
      </c>
      <c r="BA22" s="145"/>
      <c r="BB22" s="18"/>
    </row>
    <row r="23" spans="2:54" x14ac:dyDescent="0.25">
      <c r="B23" s="16" t="s">
        <v>125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31746</v>
      </c>
      <c r="J23" s="13"/>
      <c r="K23" s="14">
        <v>0</v>
      </c>
      <c r="L23" s="14">
        <v>0</v>
      </c>
      <c r="M23" s="14">
        <v>0</v>
      </c>
      <c r="N23" s="14">
        <v>81383</v>
      </c>
      <c r="O23" s="13"/>
      <c r="P23" s="14">
        <v>9313</v>
      </c>
      <c r="Q23" s="14">
        <v>9313</v>
      </c>
      <c r="R23" s="14">
        <v>9313</v>
      </c>
      <c r="S23" s="14">
        <v>122987</v>
      </c>
      <c r="T23" s="13"/>
      <c r="U23" s="14">
        <v>123039</v>
      </c>
      <c r="V23" s="14">
        <v>123039</v>
      </c>
      <c r="W23" s="14">
        <v>123039</v>
      </c>
      <c r="X23" s="14">
        <v>121959</v>
      </c>
      <c r="Y23" s="13"/>
      <c r="Z23" s="14">
        <v>129110</v>
      </c>
      <c r="AA23" s="14">
        <v>119301</v>
      </c>
      <c r="AB23" s="14">
        <v>119828</v>
      </c>
      <c r="AC23" s="14">
        <v>122059</v>
      </c>
      <c r="AD23" s="13"/>
      <c r="AE23" s="14">
        <v>124260</v>
      </c>
      <c r="AF23" s="14">
        <v>127873</v>
      </c>
      <c r="AG23" s="24">
        <v>132100</v>
      </c>
      <c r="AH23" s="24">
        <v>173137</v>
      </c>
      <c r="AI23" s="13"/>
      <c r="AJ23" s="24">
        <v>177560</v>
      </c>
      <c r="AK23" s="14">
        <v>181982</v>
      </c>
      <c r="AL23" s="24">
        <v>186647</v>
      </c>
      <c r="AM23" s="24">
        <v>193794</v>
      </c>
      <c r="AN23" s="13"/>
      <c r="AO23" s="24">
        <v>196737</v>
      </c>
      <c r="AP23" s="18">
        <v>207057</v>
      </c>
      <c r="AQ23" s="18">
        <v>206511</v>
      </c>
      <c r="AR23" s="24">
        <v>70701</v>
      </c>
      <c r="AS23" s="13"/>
      <c r="AT23" s="14">
        <v>86912</v>
      </c>
      <c r="AU23" s="18">
        <v>100576</v>
      </c>
      <c r="AV23" s="115">
        <v>109184</v>
      </c>
      <c r="AW23" s="15">
        <v>122866</v>
      </c>
      <c r="AY23" s="126">
        <v>190903</v>
      </c>
      <c r="AZ23" s="126">
        <v>220843</v>
      </c>
      <c r="BA23" s="145"/>
      <c r="BB23" s="24"/>
    </row>
    <row r="24" spans="2:54" x14ac:dyDescent="0.25">
      <c r="B24" s="16" t="s">
        <v>328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3"/>
      <c r="K24" s="14">
        <v>0</v>
      </c>
      <c r="L24" s="14">
        <v>0</v>
      </c>
      <c r="M24" s="14">
        <v>0</v>
      </c>
      <c r="N24" s="14">
        <v>0</v>
      </c>
      <c r="O24" s="13"/>
      <c r="P24" s="14">
        <v>0</v>
      </c>
      <c r="Q24" s="14">
        <v>0</v>
      </c>
      <c r="R24" s="14">
        <v>0</v>
      </c>
      <c r="S24" s="14">
        <v>0</v>
      </c>
      <c r="T24" s="13"/>
      <c r="U24" s="14">
        <v>0</v>
      </c>
      <c r="V24" s="14">
        <v>0</v>
      </c>
      <c r="W24" s="14">
        <v>0</v>
      </c>
      <c r="X24" s="14">
        <v>0</v>
      </c>
      <c r="Y24" s="13"/>
      <c r="Z24" s="14">
        <v>0</v>
      </c>
      <c r="AA24" s="14">
        <v>0</v>
      </c>
      <c r="AB24" s="14">
        <v>0</v>
      </c>
      <c r="AC24" s="14">
        <v>14757</v>
      </c>
      <c r="AD24" s="13"/>
      <c r="AE24" s="14">
        <v>17115</v>
      </c>
      <c r="AF24" s="14">
        <v>2156</v>
      </c>
      <c r="AG24" s="24">
        <v>1066</v>
      </c>
      <c r="AH24" s="24">
        <v>1528</v>
      </c>
      <c r="AI24" s="13"/>
      <c r="AJ24" s="24">
        <v>9142.49</v>
      </c>
      <c r="AK24" s="14">
        <v>3453</v>
      </c>
      <c r="AL24" s="24">
        <v>5636</v>
      </c>
      <c r="AM24" s="24">
        <v>7212</v>
      </c>
      <c r="AN24" s="13"/>
      <c r="AO24" s="24">
        <v>7816</v>
      </c>
      <c r="AP24" s="18">
        <v>6000</v>
      </c>
      <c r="AQ24" s="18">
        <v>4437</v>
      </c>
      <c r="AR24" s="24">
        <v>5574</v>
      </c>
      <c r="AS24" s="13"/>
      <c r="AT24" s="14">
        <v>28593</v>
      </c>
      <c r="AU24" s="18">
        <v>104986</v>
      </c>
      <c r="AV24" s="145">
        <v>39442</v>
      </c>
      <c r="AW24" s="15">
        <v>56418</v>
      </c>
      <c r="AY24" s="126">
        <v>67613</v>
      </c>
      <c r="AZ24" s="126">
        <v>143919</v>
      </c>
      <c r="BA24" s="145"/>
      <c r="BB24" s="24"/>
    </row>
    <row r="25" spans="2:54" x14ac:dyDescent="0.25">
      <c r="B25" s="16" t="s">
        <v>298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3"/>
      <c r="K25" s="14">
        <v>0</v>
      </c>
      <c r="L25" s="14">
        <v>0</v>
      </c>
      <c r="M25" s="14">
        <v>0</v>
      </c>
      <c r="N25" s="14">
        <v>255</v>
      </c>
      <c r="O25" s="13"/>
      <c r="P25" s="14">
        <v>255</v>
      </c>
      <c r="Q25" s="14">
        <v>255</v>
      </c>
      <c r="R25" s="14">
        <v>255</v>
      </c>
      <c r="S25" s="14">
        <v>274</v>
      </c>
      <c r="T25" s="13"/>
      <c r="U25" s="14">
        <v>290</v>
      </c>
      <c r="V25" s="14">
        <v>290</v>
      </c>
      <c r="W25" s="14">
        <v>290</v>
      </c>
      <c r="X25" s="14">
        <v>290</v>
      </c>
      <c r="Y25" s="13"/>
      <c r="Z25" s="14">
        <v>290</v>
      </c>
      <c r="AA25" s="14">
        <v>214</v>
      </c>
      <c r="AB25" s="14">
        <v>214</v>
      </c>
      <c r="AC25" s="14">
        <v>214</v>
      </c>
      <c r="AD25" s="13"/>
      <c r="AE25" s="14">
        <v>198</v>
      </c>
      <c r="AF25" s="14">
        <v>198.42775</v>
      </c>
      <c r="AG25" s="24">
        <v>188</v>
      </c>
      <c r="AH25" s="24">
        <v>121</v>
      </c>
      <c r="AI25" s="13"/>
      <c r="AJ25" s="24">
        <v>172.05946</v>
      </c>
      <c r="AK25" s="14">
        <v>100</v>
      </c>
      <c r="AL25" s="24">
        <v>118</v>
      </c>
      <c r="AM25" s="24">
        <v>116</v>
      </c>
      <c r="AN25" s="13"/>
      <c r="AO25" s="24">
        <v>133</v>
      </c>
      <c r="AP25" s="18">
        <v>180</v>
      </c>
      <c r="AQ25" s="18">
        <v>180</v>
      </c>
      <c r="AR25" s="24">
        <v>168</v>
      </c>
      <c r="AS25" s="13"/>
      <c r="AT25" s="14">
        <v>139</v>
      </c>
      <c r="AU25" s="18">
        <v>135</v>
      </c>
      <c r="AV25" s="115">
        <v>122</v>
      </c>
      <c r="AW25" s="15">
        <v>201</v>
      </c>
      <c r="AY25" s="126">
        <v>249</v>
      </c>
      <c r="AZ25" s="126">
        <v>216</v>
      </c>
      <c r="BA25" s="145"/>
      <c r="BB25" s="24"/>
    </row>
    <row r="26" spans="2:54" x14ac:dyDescent="0.25">
      <c r="B26" s="16" t="s">
        <v>299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3"/>
      <c r="K26" s="14">
        <v>7147</v>
      </c>
      <c r="L26" s="14">
        <v>4185</v>
      </c>
      <c r="M26" s="14">
        <v>4089</v>
      </c>
      <c r="N26" s="14">
        <v>293</v>
      </c>
      <c r="O26" s="13"/>
      <c r="P26" s="14">
        <v>4063</v>
      </c>
      <c r="Q26" s="14">
        <v>3895</v>
      </c>
      <c r="R26" s="14">
        <v>4813</v>
      </c>
      <c r="S26" s="14">
        <v>149</v>
      </c>
      <c r="T26" s="13"/>
      <c r="U26" s="14">
        <v>318</v>
      </c>
      <c r="V26" s="14">
        <v>84</v>
      </c>
      <c r="W26" s="14">
        <v>54</v>
      </c>
      <c r="X26" s="14">
        <v>0</v>
      </c>
      <c r="Y26" s="13"/>
      <c r="Z26" s="14">
        <v>0</v>
      </c>
      <c r="AA26" s="14">
        <v>0</v>
      </c>
      <c r="AB26" s="14">
        <v>0</v>
      </c>
      <c r="AC26" s="14">
        <v>0</v>
      </c>
      <c r="AD26" s="13"/>
      <c r="AE26" s="14">
        <v>0</v>
      </c>
      <c r="AF26" s="14">
        <v>0</v>
      </c>
      <c r="AG26" s="14">
        <v>0</v>
      </c>
      <c r="AH26" s="14">
        <v>0</v>
      </c>
      <c r="AI26" s="13"/>
      <c r="AJ26" s="14">
        <v>0</v>
      </c>
      <c r="AK26" s="14">
        <v>0</v>
      </c>
      <c r="AL26" s="14">
        <v>0</v>
      </c>
      <c r="AM26" s="14">
        <v>0</v>
      </c>
      <c r="AN26" s="13"/>
      <c r="AO26" s="14">
        <v>0</v>
      </c>
      <c r="AP26" s="18">
        <v>0</v>
      </c>
      <c r="AQ26" s="18">
        <v>0</v>
      </c>
      <c r="AR26" s="14">
        <v>0</v>
      </c>
      <c r="AS26" s="13"/>
      <c r="AT26" s="14">
        <v>0</v>
      </c>
      <c r="AU26" s="18">
        <v>0</v>
      </c>
      <c r="AV26" s="115">
        <v>0</v>
      </c>
      <c r="AW26" s="169" t="s">
        <v>326</v>
      </c>
      <c r="AY26" s="126">
        <v>0</v>
      </c>
      <c r="AZ26" s="126">
        <v>0</v>
      </c>
      <c r="BA26" s="145"/>
      <c r="BB26" s="157"/>
    </row>
    <row r="27" spans="2:54" x14ac:dyDescent="0.25">
      <c r="B27" s="16" t="s">
        <v>297</v>
      </c>
      <c r="C27" s="14">
        <v>0</v>
      </c>
      <c r="D27" s="14">
        <v>0</v>
      </c>
      <c r="E27" s="14">
        <v>0</v>
      </c>
      <c r="F27" s="14">
        <v>0</v>
      </c>
      <c r="G27" s="14">
        <v>18472</v>
      </c>
      <c r="H27" s="14">
        <v>5198</v>
      </c>
      <c r="I27" s="14">
        <v>0</v>
      </c>
      <c r="J27" s="13"/>
      <c r="K27" s="14">
        <v>23</v>
      </c>
      <c r="L27" s="14">
        <v>23</v>
      </c>
      <c r="M27" s="14">
        <v>23</v>
      </c>
      <c r="N27" s="14">
        <v>11644</v>
      </c>
      <c r="O27" s="13"/>
      <c r="P27" s="14">
        <v>6681</v>
      </c>
      <c r="Q27" s="14">
        <v>6681</v>
      </c>
      <c r="R27" s="14">
        <v>6681</v>
      </c>
      <c r="S27" s="14">
        <v>6276</v>
      </c>
      <c r="T27" s="13"/>
      <c r="U27" s="14">
        <v>12352</v>
      </c>
      <c r="V27" s="14">
        <v>10641</v>
      </c>
      <c r="W27" s="14">
        <v>9231</v>
      </c>
      <c r="X27" s="14">
        <v>0</v>
      </c>
      <c r="Y27" s="13"/>
      <c r="Z27" s="14">
        <v>6005</v>
      </c>
      <c r="AA27" s="14">
        <v>0</v>
      </c>
      <c r="AB27" s="14">
        <v>11336</v>
      </c>
      <c r="AC27" s="14">
        <v>92187</v>
      </c>
      <c r="AD27" s="13"/>
      <c r="AE27" s="14">
        <v>105910</v>
      </c>
      <c r="AF27" s="14">
        <v>77135</v>
      </c>
      <c r="AG27" s="24">
        <v>125405</v>
      </c>
      <c r="AH27" s="24">
        <v>123194</v>
      </c>
      <c r="AI27" s="13"/>
      <c r="AJ27" s="24">
        <v>132364</v>
      </c>
      <c r="AK27" s="14">
        <v>153242</v>
      </c>
      <c r="AL27" s="24">
        <v>257596</v>
      </c>
      <c r="AM27" s="24">
        <v>273664</v>
      </c>
      <c r="AN27" s="13"/>
      <c r="AO27" s="24">
        <v>257469</v>
      </c>
      <c r="AP27" s="18">
        <v>192969</v>
      </c>
      <c r="AQ27" s="18">
        <v>90879</v>
      </c>
      <c r="AR27" s="24">
        <v>167859</v>
      </c>
      <c r="AS27" s="13"/>
      <c r="AT27" s="14">
        <v>112847</v>
      </c>
      <c r="AU27" s="18">
        <v>0</v>
      </c>
      <c r="AV27" s="115">
        <v>1406</v>
      </c>
      <c r="AW27" s="15">
        <v>38619</v>
      </c>
      <c r="AY27" s="126">
        <v>89627</v>
      </c>
      <c r="AZ27" s="126">
        <v>38957</v>
      </c>
      <c r="BA27" s="145"/>
      <c r="BB27" s="24"/>
    </row>
    <row r="28" spans="2:54" x14ac:dyDescent="0.25">
      <c r="B28" s="16" t="s">
        <v>327</v>
      </c>
      <c r="C28" s="14">
        <v>0</v>
      </c>
      <c r="D28" s="14">
        <v>0</v>
      </c>
      <c r="E28" s="14">
        <v>0</v>
      </c>
      <c r="F28" s="14">
        <v>0</v>
      </c>
      <c r="G28" s="14">
        <v>41669</v>
      </c>
      <c r="H28" s="14">
        <v>38577</v>
      </c>
      <c r="I28" s="14">
        <v>33548</v>
      </c>
      <c r="J28" s="13"/>
      <c r="K28" s="14">
        <v>33548</v>
      </c>
      <c r="L28" s="14">
        <v>33548</v>
      </c>
      <c r="M28" s="14">
        <v>33548</v>
      </c>
      <c r="N28" s="14">
        <v>28548</v>
      </c>
      <c r="O28" s="13"/>
      <c r="P28" s="14">
        <v>28548</v>
      </c>
      <c r="Q28" s="14">
        <v>28548</v>
      </c>
      <c r="R28" s="14">
        <v>28548</v>
      </c>
      <c r="S28" s="14">
        <v>23548</v>
      </c>
      <c r="T28" s="13"/>
      <c r="U28" s="14">
        <v>23548</v>
      </c>
      <c r="V28" s="14">
        <v>23548</v>
      </c>
      <c r="W28" s="14">
        <v>23548</v>
      </c>
      <c r="X28" s="14">
        <v>19786</v>
      </c>
      <c r="Y28" s="13"/>
      <c r="Z28" s="14">
        <v>20388</v>
      </c>
      <c r="AA28" s="14">
        <v>20771</v>
      </c>
      <c r="AB28" s="14">
        <v>21348</v>
      </c>
      <c r="AC28" s="14">
        <v>17400</v>
      </c>
      <c r="AD28" s="13"/>
      <c r="AE28" s="14">
        <v>17842</v>
      </c>
      <c r="AF28" s="14">
        <v>18384</v>
      </c>
      <c r="AG28" s="24">
        <v>18315</v>
      </c>
      <c r="AH28" s="14">
        <v>0</v>
      </c>
      <c r="AI28" s="13"/>
      <c r="AJ28" s="14">
        <v>0</v>
      </c>
      <c r="AK28" s="14">
        <v>0</v>
      </c>
      <c r="AL28" s="14">
        <v>0</v>
      </c>
      <c r="AM28" s="14">
        <v>0</v>
      </c>
      <c r="AN28" s="13"/>
      <c r="AO28" s="14">
        <v>0</v>
      </c>
      <c r="AP28" s="18">
        <v>0</v>
      </c>
      <c r="AQ28" s="18">
        <v>0</v>
      </c>
      <c r="AR28" s="14">
        <v>0</v>
      </c>
      <c r="AS28" s="13"/>
      <c r="AT28" s="14">
        <v>0</v>
      </c>
      <c r="AU28" s="18">
        <v>0</v>
      </c>
      <c r="AV28" s="115">
        <v>0</v>
      </c>
      <c r="AW28" s="169" t="s">
        <v>326</v>
      </c>
      <c r="AY28" s="126">
        <v>0</v>
      </c>
      <c r="AZ28" s="126">
        <v>0</v>
      </c>
      <c r="BA28" s="145"/>
      <c r="BB28" s="157"/>
    </row>
    <row r="29" spans="2:54" x14ac:dyDescent="0.25">
      <c r="B29" s="16" t="s">
        <v>123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3"/>
      <c r="K29" s="14">
        <v>0</v>
      </c>
      <c r="L29" s="14">
        <v>0</v>
      </c>
      <c r="M29" s="14">
        <v>0</v>
      </c>
      <c r="N29" s="14">
        <v>0</v>
      </c>
      <c r="O29" s="13"/>
      <c r="P29" s="14">
        <v>0</v>
      </c>
      <c r="Q29" s="14">
        <v>0</v>
      </c>
      <c r="R29" s="14">
        <v>0</v>
      </c>
      <c r="S29" s="14">
        <v>0</v>
      </c>
      <c r="T29" s="13"/>
      <c r="U29" s="14">
        <v>0</v>
      </c>
      <c r="V29" s="14">
        <v>0</v>
      </c>
      <c r="W29" s="14">
        <v>0</v>
      </c>
      <c r="X29" s="14">
        <v>0</v>
      </c>
      <c r="Y29" s="13"/>
      <c r="Z29" s="14">
        <v>0</v>
      </c>
      <c r="AA29" s="14">
        <v>0</v>
      </c>
      <c r="AB29" s="14">
        <v>0</v>
      </c>
      <c r="AC29" s="14">
        <v>0</v>
      </c>
      <c r="AD29" s="13"/>
      <c r="AE29" s="14">
        <v>1114</v>
      </c>
      <c r="AF29" s="14">
        <v>2974</v>
      </c>
      <c r="AG29" s="24">
        <v>1987</v>
      </c>
      <c r="AH29" s="24">
        <v>1387</v>
      </c>
      <c r="AI29" s="13"/>
      <c r="AJ29" s="14">
        <v>0</v>
      </c>
      <c r="AK29" s="14">
        <v>0</v>
      </c>
      <c r="AL29" s="14">
        <v>0</v>
      </c>
      <c r="AM29" s="14">
        <v>0</v>
      </c>
      <c r="AN29" s="13"/>
      <c r="AO29" s="14">
        <v>0</v>
      </c>
      <c r="AP29" s="18">
        <v>9176</v>
      </c>
      <c r="AQ29" s="18">
        <v>8488</v>
      </c>
      <c r="AR29" s="14">
        <v>0</v>
      </c>
      <c r="AS29" s="13"/>
      <c r="AT29" s="14">
        <v>0</v>
      </c>
      <c r="AU29" s="18">
        <v>0</v>
      </c>
      <c r="AV29" s="115">
        <v>2750</v>
      </c>
      <c r="AW29" s="126">
        <v>71</v>
      </c>
      <c r="AY29" s="126">
        <v>0</v>
      </c>
      <c r="AZ29" s="126">
        <v>0</v>
      </c>
      <c r="BA29" s="145"/>
      <c r="BB29" s="14"/>
    </row>
    <row r="30" spans="2:54" x14ac:dyDescent="0.25">
      <c r="B30" s="16" t="s">
        <v>300</v>
      </c>
      <c r="C30" s="14">
        <v>0</v>
      </c>
      <c r="D30" s="14">
        <v>0</v>
      </c>
      <c r="E30" s="14">
        <v>0</v>
      </c>
      <c r="F30" s="14">
        <v>36000</v>
      </c>
      <c r="G30" s="14">
        <v>417</v>
      </c>
      <c r="H30" s="14">
        <v>1064</v>
      </c>
      <c r="I30" s="14">
        <v>3255</v>
      </c>
      <c r="J30" s="13"/>
      <c r="K30" s="14">
        <v>3511</v>
      </c>
      <c r="L30" s="14">
        <v>3790</v>
      </c>
      <c r="M30" s="14">
        <v>3703</v>
      </c>
      <c r="N30" s="14">
        <v>3471</v>
      </c>
      <c r="O30" s="13"/>
      <c r="P30" s="14">
        <v>3748</v>
      </c>
      <c r="Q30" s="14">
        <v>3494</v>
      </c>
      <c r="R30" s="14">
        <v>3732</v>
      </c>
      <c r="S30" s="14">
        <v>3500</v>
      </c>
      <c r="T30" s="13"/>
      <c r="U30" s="14">
        <v>0</v>
      </c>
      <c r="V30" s="14">
        <v>3328</v>
      </c>
      <c r="W30" s="14">
        <v>3517</v>
      </c>
      <c r="X30" s="14">
        <v>1504</v>
      </c>
      <c r="Y30" s="13"/>
      <c r="Z30" s="14">
        <v>1898</v>
      </c>
      <c r="AA30" s="14">
        <v>2201</v>
      </c>
      <c r="AB30" s="14">
        <v>2301</v>
      </c>
      <c r="AC30" s="14">
        <v>1092</v>
      </c>
      <c r="AD30" s="13"/>
      <c r="AE30" s="14">
        <v>989</v>
      </c>
      <c r="AF30" s="14">
        <v>1266</v>
      </c>
      <c r="AG30" s="24">
        <v>1366</v>
      </c>
      <c r="AH30" s="24">
        <v>1486</v>
      </c>
      <c r="AI30" s="13"/>
      <c r="AJ30" s="14">
        <v>1613</v>
      </c>
      <c r="AK30" s="14">
        <v>1774</v>
      </c>
      <c r="AL30" s="24">
        <v>1892</v>
      </c>
      <c r="AM30" s="24">
        <v>2041</v>
      </c>
      <c r="AN30" s="13"/>
      <c r="AO30" s="14">
        <v>792</v>
      </c>
      <c r="AP30" s="18">
        <v>1021</v>
      </c>
      <c r="AQ30" s="18">
        <v>1021</v>
      </c>
      <c r="AR30" s="24">
        <v>1035</v>
      </c>
      <c r="AS30" s="13"/>
      <c r="AT30" s="14">
        <v>0</v>
      </c>
      <c r="AU30" s="18">
        <v>1066</v>
      </c>
      <c r="AV30" s="115">
        <v>1066</v>
      </c>
      <c r="AW30" s="15">
        <v>1088</v>
      </c>
      <c r="AY30" s="126">
        <v>1080</v>
      </c>
      <c r="AZ30" s="126">
        <v>1107</v>
      </c>
      <c r="BA30" s="145"/>
      <c r="BB30" s="24"/>
    </row>
    <row r="31" spans="2:54" x14ac:dyDescent="0.25">
      <c r="B31" s="16" t="s">
        <v>301</v>
      </c>
      <c r="C31" s="14">
        <v>0</v>
      </c>
      <c r="D31" s="14">
        <v>0</v>
      </c>
      <c r="E31" s="14">
        <v>1786</v>
      </c>
      <c r="F31" s="14">
        <v>1530</v>
      </c>
      <c r="G31" s="14">
        <v>12</v>
      </c>
      <c r="H31" s="14">
        <v>0</v>
      </c>
      <c r="I31" s="14">
        <v>0</v>
      </c>
      <c r="J31" s="13"/>
      <c r="K31" s="14">
        <v>0</v>
      </c>
      <c r="L31" s="14">
        <v>0</v>
      </c>
      <c r="M31" s="14">
        <v>0</v>
      </c>
      <c r="N31" s="14">
        <v>0</v>
      </c>
      <c r="O31" s="13"/>
      <c r="P31" s="14">
        <v>0</v>
      </c>
      <c r="Q31" s="14">
        <v>0</v>
      </c>
      <c r="R31" s="14">
        <v>0</v>
      </c>
      <c r="S31" s="14">
        <v>0</v>
      </c>
      <c r="T31" s="13"/>
      <c r="U31" s="14">
        <v>0</v>
      </c>
      <c r="V31" s="14">
        <v>0</v>
      </c>
      <c r="W31" s="14">
        <v>0</v>
      </c>
      <c r="X31" s="14">
        <v>0</v>
      </c>
      <c r="Y31" s="13"/>
      <c r="Z31" s="14">
        <v>0</v>
      </c>
      <c r="AA31" s="14">
        <v>0</v>
      </c>
      <c r="AB31" s="14">
        <v>0</v>
      </c>
      <c r="AC31" s="14">
        <v>0</v>
      </c>
      <c r="AD31" s="13"/>
      <c r="AE31" s="14">
        <v>0</v>
      </c>
      <c r="AF31" s="14">
        <v>0</v>
      </c>
      <c r="AG31" s="14">
        <v>0</v>
      </c>
      <c r="AH31" s="14">
        <v>0</v>
      </c>
      <c r="AI31" s="13"/>
      <c r="AJ31" s="14">
        <v>0</v>
      </c>
      <c r="AK31" s="14">
        <v>0</v>
      </c>
      <c r="AL31" s="14">
        <v>0</v>
      </c>
      <c r="AM31" s="14">
        <v>0</v>
      </c>
      <c r="AN31" s="13"/>
      <c r="AO31" s="14">
        <v>0</v>
      </c>
      <c r="AP31" s="18">
        <v>0</v>
      </c>
      <c r="AQ31" s="18">
        <v>0</v>
      </c>
      <c r="AR31" s="14">
        <v>0</v>
      </c>
      <c r="AS31" s="13"/>
      <c r="AT31" s="14">
        <v>1041</v>
      </c>
      <c r="AU31" s="18">
        <v>0</v>
      </c>
      <c r="AV31" s="18">
        <v>0</v>
      </c>
      <c r="AW31" s="126">
        <v>0</v>
      </c>
      <c r="AY31" s="126">
        <v>0</v>
      </c>
      <c r="AZ31" s="126">
        <v>0</v>
      </c>
      <c r="BA31" s="126"/>
      <c r="BB31" s="14"/>
    </row>
    <row r="32" spans="2:54" x14ac:dyDescent="0.25">
      <c r="B32" s="13"/>
      <c r="C32" s="15"/>
      <c r="D32" s="15"/>
      <c r="E32" s="15"/>
      <c r="F32" s="15"/>
      <c r="G32" s="15"/>
      <c r="H32" s="15"/>
      <c r="I32" s="15"/>
      <c r="J32" s="13"/>
      <c r="K32" s="15"/>
      <c r="L32" s="15"/>
      <c r="M32" s="15"/>
      <c r="N32" s="15"/>
      <c r="O32" s="13"/>
      <c r="P32" s="15"/>
      <c r="Q32" s="15"/>
      <c r="R32" s="15"/>
      <c r="S32" s="15"/>
      <c r="T32" s="13"/>
      <c r="U32" s="15"/>
      <c r="V32" s="15"/>
      <c r="W32" s="15"/>
      <c r="X32" s="15"/>
      <c r="Y32" s="13"/>
      <c r="Z32" s="15"/>
      <c r="AA32" s="15"/>
      <c r="AB32" s="15"/>
      <c r="AC32" s="15"/>
      <c r="AD32" s="13"/>
      <c r="AE32" s="15"/>
      <c r="AF32" s="15"/>
      <c r="AG32" s="15"/>
      <c r="AH32" s="15"/>
      <c r="AI32" s="13"/>
      <c r="AJ32" s="15"/>
      <c r="AK32" s="15"/>
      <c r="AL32" s="15"/>
      <c r="AM32" s="15"/>
      <c r="AN32" s="13"/>
      <c r="AO32" s="15"/>
      <c r="AP32" s="18"/>
      <c r="AQ32" s="18"/>
      <c r="AR32" s="15"/>
      <c r="AS32" s="13"/>
      <c r="AT32" s="15"/>
      <c r="AU32" s="18"/>
      <c r="AV32" s="18"/>
      <c r="AW32" s="15"/>
      <c r="AY32" s="15"/>
      <c r="AZ32" s="18">
        <v>0</v>
      </c>
      <c r="BA32" s="18"/>
      <c r="BB32" s="15"/>
    </row>
    <row r="33" spans="2:58" x14ac:dyDescent="0.25">
      <c r="B33" s="13" t="s">
        <v>33</v>
      </c>
      <c r="C33" s="14">
        <v>13336</v>
      </c>
      <c r="D33" s="14">
        <v>13778</v>
      </c>
      <c r="E33" s="14">
        <v>14081</v>
      </c>
      <c r="F33" s="14">
        <v>69</v>
      </c>
      <c r="G33" s="14">
        <v>0</v>
      </c>
      <c r="H33" s="14">
        <v>0</v>
      </c>
      <c r="I33" s="14">
        <v>0</v>
      </c>
      <c r="J33" s="13"/>
      <c r="K33" s="14">
        <v>0</v>
      </c>
      <c r="L33" s="14">
        <v>0</v>
      </c>
      <c r="M33" s="14">
        <v>0</v>
      </c>
      <c r="N33" s="14">
        <v>0</v>
      </c>
      <c r="O33" s="13"/>
      <c r="P33" s="14">
        <v>0</v>
      </c>
      <c r="Q33" s="14">
        <v>0</v>
      </c>
      <c r="R33" s="14">
        <v>0</v>
      </c>
      <c r="S33" s="14">
        <v>0</v>
      </c>
      <c r="T33" s="13"/>
      <c r="U33" s="14">
        <v>0</v>
      </c>
      <c r="V33" s="14">
        <v>0</v>
      </c>
      <c r="W33" s="14">
        <v>0</v>
      </c>
      <c r="X33" s="14">
        <v>0</v>
      </c>
      <c r="Y33" s="13"/>
      <c r="Z33" s="14">
        <v>0</v>
      </c>
      <c r="AA33" s="14">
        <v>0</v>
      </c>
      <c r="AB33" s="14">
        <v>0</v>
      </c>
      <c r="AC33" s="14">
        <v>0</v>
      </c>
      <c r="AD33" s="13"/>
      <c r="AE33" s="14">
        <v>0</v>
      </c>
      <c r="AF33" s="14">
        <v>45.594000000000001</v>
      </c>
      <c r="AG33" s="14">
        <v>0</v>
      </c>
      <c r="AH33" s="14">
        <v>0</v>
      </c>
      <c r="AI33" s="13"/>
      <c r="AJ33" s="14">
        <v>0</v>
      </c>
      <c r="AK33" s="14">
        <v>0</v>
      </c>
      <c r="AL33" s="14">
        <v>0</v>
      </c>
      <c r="AM33" s="14">
        <v>0</v>
      </c>
      <c r="AN33" s="13"/>
      <c r="AO33" s="14">
        <v>1792</v>
      </c>
      <c r="AP33" s="14">
        <v>5183</v>
      </c>
      <c r="AQ33" s="14">
        <v>5105</v>
      </c>
      <c r="AR33" s="14">
        <v>5179</v>
      </c>
      <c r="AS33" s="13"/>
      <c r="AT33" s="24">
        <v>4949</v>
      </c>
      <c r="AU33" s="14">
        <v>18592</v>
      </c>
      <c r="AV33" s="146">
        <v>18298</v>
      </c>
      <c r="AW33" s="14">
        <v>18515</v>
      </c>
      <c r="AY33" s="24">
        <v>16486</v>
      </c>
      <c r="AZ33" s="14">
        <v>16947</v>
      </c>
      <c r="BA33" s="146"/>
      <c r="BB33" s="14"/>
    </row>
    <row r="34" spans="2:58" x14ac:dyDescent="0.25">
      <c r="B34" s="13" t="s">
        <v>34</v>
      </c>
      <c r="C34" s="14">
        <v>128261</v>
      </c>
      <c r="D34" s="14">
        <v>168993</v>
      </c>
      <c r="E34" s="14">
        <v>202172</v>
      </c>
      <c r="F34" s="14">
        <v>206237</v>
      </c>
      <c r="G34" s="14">
        <v>217893</v>
      </c>
      <c r="H34" s="14">
        <v>215117</v>
      </c>
      <c r="I34" s="14">
        <v>212881</v>
      </c>
      <c r="J34" s="13"/>
      <c r="K34" s="14">
        <v>237537</v>
      </c>
      <c r="L34" s="14">
        <v>240561</v>
      </c>
      <c r="M34" s="14">
        <v>244269</v>
      </c>
      <c r="N34" s="14">
        <v>250561</v>
      </c>
      <c r="O34" s="13"/>
      <c r="P34" s="14">
        <v>265098</v>
      </c>
      <c r="Q34" s="14">
        <v>294598</v>
      </c>
      <c r="R34" s="14">
        <v>308223</v>
      </c>
      <c r="S34" s="14">
        <v>334037</v>
      </c>
      <c r="T34" s="13"/>
      <c r="U34" s="14">
        <v>359214</v>
      </c>
      <c r="V34" s="14">
        <v>375895</v>
      </c>
      <c r="W34" s="14">
        <v>389511</v>
      </c>
      <c r="X34" s="14">
        <v>407490</v>
      </c>
      <c r="Y34" s="13"/>
      <c r="Z34" s="14">
        <v>440234</v>
      </c>
      <c r="AA34" s="14">
        <v>508728</v>
      </c>
      <c r="AB34" s="14">
        <v>641725</v>
      </c>
      <c r="AC34" s="14">
        <v>793132</v>
      </c>
      <c r="AD34" s="13"/>
      <c r="AE34" s="14">
        <v>915085</v>
      </c>
      <c r="AF34" s="14">
        <v>1098838</v>
      </c>
      <c r="AG34" s="14">
        <v>1318124</v>
      </c>
      <c r="AH34" s="14">
        <v>1523576</v>
      </c>
      <c r="AI34" s="14"/>
      <c r="AJ34" s="14">
        <v>1657842.2208299993</v>
      </c>
      <c r="AK34" s="14">
        <v>1794415</v>
      </c>
      <c r="AL34" s="14">
        <v>1888609</v>
      </c>
      <c r="AM34" s="14">
        <v>1965621</v>
      </c>
      <c r="AN34" s="14"/>
      <c r="AO34" s="14">
        <v>2100046</v>
      </c>
      <c r="AP34" s="18">
        <v>2188395</v>
      </c>
      <c r="AQ34" s="18">
        <f>SUM(AQ35:AQ36)</f>
        <v>2299430</v>
      </c>
      <c r="AR34" s="18">
        <f>SUM(AR35:AR36)</f>
        <v>2660660</v>
      </c>
      <c r="AS34" s="14"/>
      <c r="AT34" s="24">
        <f>SUM(AT35:AT36)</f>
        <v>2957266</v>
      </c>
      <c r="AU34" s="24">
        <f>SUM(AU35:AU36)</f>
        <v>3512163</v>
      </c>
      <c r="AV34" s="24">
        <f>SUM(AV35:AV36)</f>
        <v>4042950</v>
      </c>
      <c r="AW34" s="18">
        <f>AW35+AW36</f>
        <v>4516503</v>
      </c>
      <c r="AY34" s="24">
        <f>AY35+AY36</f>
        <v>4809722</v>
      </c>
      <c r="AZ34" s="24">
        <f>AZ35+AZ36</f>
        <v>5038694</v>
      </c>
      <c r="BA34" s="24"/>
      <c r="BB34" s="18"/>
    </row>
    <row r="35" spans="2:58" x14ac:dyDescent="0.25">
      <c r="B35" s="16" t="s">
        <v>329</v>
      </c>
      <c r="C35" s="14">
        <v>128261</v>
      </c>
      <c r="D35" s="14">
        <v>168993</v>
      </c>
      <c r="E35" s="14">
        <v>202172</v>
      </c>
      <c r="F35" s="14">
        <v>206237</v>
      </c>
      <c r="G35" s="14">
        <v>217893</v>
      </c>
      <c r="H35" s="14">
        <v>215117</v>
      </c>
      <c r="I35" s="14">
        <v>212881</v>
      </c>
      <c r="J35" s="13"/>
      <c r="K35" s="14">
        <v>237537</v>
      </c>
      <c r="L35" s="14">
        <v>240561</v>
      </c>
      <c r="M35" s="14">
        <v>244269</v>
      </c>
      <c r="N35" s="14">
        <v>250561</v>
      </c>
      <c r="O35" s="13"/>
      <c r="P35" s="14">
        <v>265098</v>
      </c>
      <c r="Q35" s="14">
        <v>294598</v>
      </c>
      <c r="R35" s="14">
        <v>308223</v>
      </c>
      <c r="S35" s="14">
        <v>330210</v>
      </c>
      <c r="T35" s="13"/>
      <c r="U35" s="14">
        <v>356865</v>
      </c>
      <c r="V35" s="14">
        <v>373962</v>
      </c>
      <c r="W35" s="14">
        <v>388073</v>
      </c>
      <c r="X35" s="14">
        <v>406564</v>
      </c>
      <c r="Y35" s="13"/>
      <c r="Z35" s="14">
        <v>438471</v>
      </c>
      <c r="AA35" s="14">
        <v>497774</v>
      </c>
      <c r="AB35" s="14">
        <v>631917</v>
      </c>
      <c r="AC35" s="14">
        <v>779552</v>
      </c>
      <c r="AD35" s="13"/>
      <c r="AE35" s="14">
        <v>899207</v>
      </c>
      <c r="AF35" s="14">
        <v>1082037</v>
      </c>
      <c r="AG35" s="14">
        <v>1302570</v>
      </c>
      <c r="AH35" s="14">
        <v>1500239</v>
      </c>
      <c r="AI35" s="13"/>
      <c r="AJ35" s="14">
        <v>1635997.0802499994</v>
      </c>
      <c r="AK35" s="14">
        <v>1774354</v>
      </c>
      <c r="AL35" s="14">
        <v>1869071</v>
      </c>
      <c r="AM35" s="14">
        <v>1947515</v>
      </c>
      <c r="AN35" s="13"/>
      <c r="AO35" s="14">
        <v>2083895</v>
      </c>
      <c r="AP35" s="18">
        <v>2170953</v>
      </c>
      <c r="AQ35" s="18">
        <v>2283714</v>
      </c>
      <c r="AR35" s="14">
        <v>2638711</v>
      </c>
      <c r="AS35" s="13"/>
      <c r="AT35" s="24">
        <v>2933499</v>
      </c>
      <c r="AU35" s="18">
        <v>3489386</v>
      </c>
      <c r="AV35" s="115">
        <v>4007526</v>
      </c>
      <c r="AW35" s="14">
        <v>4472432</v>
      </c>
      <c r="AY35" s="24">
        <v>4767146</v>
      </c>
      <c r="AZ35" s="18">
        <v>4992527</v>
      </c>
      <c r="BA35" s="115"/>
      <c r="BB35" s="14"/>
    </row>
    <row r="36" spans="2:58" x14ac:dyDescent="0.25">
      <c r="B36" s="16" t="s">
        <v>330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3"/>
      <c r="K36" s="14">
        <v>0</v>
      </c>
      <c r="L36" s="14">
        <v>0</v>
      </c>
      <c r="M36" s="14">
        <v>0</v>
      </c>
      <c r="N36" s="14">
        <v>0</v>
      </c>
      <c r="O36" s="13"/>
      <c r="P36" s="14">
        <v>0</v>
      </c>
      <c r="Q36" s="14">
        <v>0</v>
      </c>
      <c r="R36" s="14">
        <v>0</v>
      </c>
      <c r="S36" s="14">
        <v>3827</v>
      </c>
      <c r="T36" s="13"/>
      <c r="U36" s="14">
        <v>2349</v>
      </c>
      <c r="V36" s="14">
        <v>1933</v>
      </c>
      <c r="W36" s="14">
        <v>1438</v>
      </c>
      <c r="X36" s="14">
        <v>926</v>
      </c>
      <c r="Y36" s="13"/>
      <c r="Z36" s="14">
        <v>1763</v>
      </c>
      <c r="AA36" s="14">
        <v>10954</v>
      </c>
      <c r="AB36" s="14">
        <v>9808</v>
      </c>
      <c r="AC36" s="14">
        <v>13580</v>
      </c>
      <c r="AD36" s="13"/>
      <c r="AE36" s="14">
        <v>15878</v>
      </c>
      <c r="AF36" s="14">
        <v>16801</v>
      </c>
      <c r="AG36" s="14">
        <v>15554</v>
      </c>
      <c r="AH36" s="14">
        <v>23337</v>
      </c>
      <c r="AI36" s="13"/>
      <c r="AJ36" s="14">
        <v>21845.140579999999</v>
      </c>
      <c r="AK36" s="14">
        <v>20061</v>
      </c>
      <c r="AL36" s="14">
        <v>19538</v>
      </c>
      <c r="AM36" s="14">
        <v>18106</v>
      </c>
      <c r="AN36" s="13"/>
      <c r="AO36" s="14">
        <v>16151</v>
      </c>
      <c r="AP36" s="18">
        <v>17442</v>
      </c>
      <c r="AQ36" s="18">
        <v>15716</v>
      </c>
      <c r="AR36" s="14">
        <v>21949</v>
      </c>
      <c r="AS36" s="13"/>
      <c r="AT36" s="24">
        <v>23767</v>
      </c>
      <c r="AU36" s="18">
        <v>22777</v>
      </c>
      <c r="AV36" s="115">
        <v>35424</v>
      </c>
      <c r="AW36" s="14">
        <v>44071</v>
      </c>
      <c r="AY36" s="24">
        <v>42576</v>
      </c>
      <c r="AZ36" s="18">
        <v>46167</v>
      </c>
      <c r="BA36" s="115"/>
      <c r="BB36" s="14"/>
    </row>
    <row r="37" spans="2:58" x14ac:dyDescent="0.25">
      <c r="B37" s="16" t="s">
        <v>296</v>
      </c>
      <c r="C37" s="14">
        <v>463</v>
      </c>
      <c r="D37" s="14">
        <v>752</v>
      </c>
      <c r="E37" s="14">
        <v>823</v>
      </c>
      <c r="F37" s="14">
        <v>445</v>
      </c>
      <c r="G37" s="14">
        <v>469</v>
      </c>
      <c r="H37" s="14">
        <v>562</v>
      </c>
      <c r="I37" s="14">
        <v>449</v>
      </c>
      <c r="J37" s="13"/>
      <c r="K37" s="14">
        <v>545</v>
      </c>
      <c r="L37" s="14">
        <v>643</v>
      </c>
      <c r="M37" s="14">
        <v>639</v>
      </c>
      <c r="N37" s="14">
        <v>604</v>
      </c>
      <c r="O37" s="13"/>
      <c r="P37" s="14">
        <v>692</v>
      </c>
      <c r="Q37" s="14">
        <v>645</v>
      </c>
      <c r="R37" s="14">
        <v>613</v>
      </c>
      <c r="S37" s="14">
        <v>555</v>
      </c>
      <c r="T37" s="13"/>
      <c r="U37" s="14">
        <v>496</v>
      </c>
      <c r="V37" s="14">
        <v>442</v>
      </c>
      <c r="W37" s="14">
        <v>377</v>
      </c>
      <c r="X37" s="14">
        <v>330</v>
      </c>
      <c r="Y37" s="13"/>
      <c r="Z37" s="14">
        <v>516</v>
      </c>
      <c r="AA37" s="14">
        <v>551</v>
      </c>
      <c r="AB37" s="14">
        <v>507</v>
      </c>
      <c r="AC37" s="14">
        <v>455</v>
      </c>
      <c r="AD37" s="13"/>
      <c r="AE37" s="14">
        <v>409</v>
      </c>
      <c r="AF37" s="14">
        <v>387</v>
      </c>
      <c r="AG37" s="14">
        <v>386</v>
      </c>
      <c r="AH37" s="14">
        <v>341</v>
      </c>
      <c r="AI37" s="13"/>
      <c r="AJ37" s="14">
        <v>4353.5225700000001</v>
      </c>
      <c r="AK37" s="14">
        <v>6827</v>
      </c>
      <c r="AL37" s="14">
        <v>15555</v>
      </c>
      <c r="AM37" s="14">
        <v>19333</v>
      </c>
      <c r="AN37" s="13"/>
      <c r="AO37" s="14">
        <v>28393</v>
      </c>
      <c r="AP37" s="18">
        <v>41252</v>
      </c>
      <c r="AQ37" s="18">
        <v>48836</v>
      </c>
      <c r="AR37" s="14">
        <v>55253</v>
      </c>
      <c r="AS37" s="13"/>
      <c r="AT37" s="24">
        <v>62474</v>
      </c>
      <c r="AU37" s="18">
        <v>70401</v>
      </c>
      <c r="AV37" s="115">
        <v>80725</v>
      </c>
      <c r="AW37" s="14">
        <v>86863</v>
      </c>
      <c r="AY37" s="24">
        <v>91237</v>
      </c>
      <c r="AZ37" s="18">
        <v>87371</v>
      </c>
      <c r="BA37" s="115"/>
      <c r="BB37" s="14"/>
    </row>
    <row r="38" spans="2:58" x14ac:dyDescent="0.25">
      <c r="B38" s="16" t="s">
        <v>295</v>
      </c>
      <c r="C38" s="14"/>
      <c r="D38" s="14"/>
      <c r="E38" s="14"/>
      <c r="F38" s="14"/>
      <c r="G38" s="14"/>
      <c r="H38" s="14"/>
      <c r="I38" s="14"/>
      <c r="J38" s="13"/>
      <c r="K38" s="14"/>
      <c r="L38" s="14"/>
      <c r="M38" s="14"/>
      <c r="N38" s="14"/>
      <c r="O38" s="13"/>
      <c r="P38" s="14"/>
      <c r="Q38" s="14"/>
      <c r="R38" s="14"/>
      <c r="S38" s="14"/>
      <c r="T38" s="13"/>
      <c r="U38" s="14"/>
      <c r="V38" s="14"/>
      <c r="W38" s="14"/>
      <c r="X38" s="14"/>
      <c r="Y38" s="13"/>
      <c r="Z38" s="14"/>
      <c r="AA38" s="14"/>
      <c r="AB38" s="14"/>
      <c r="AC38" s="14"/>
      <c r="AD38" s="13"/>
      <c r="AE38" s="14"/>
      <c r="AF38" s="14"/>
      <c r="AG38" s="14"/>
      <c r="AH38" s="14"/>
      <c r="AI38" s="13"/>
      <c r="AJ38" s="14"/>
      <c r="AK38" s="14"/>
      <c r="AL38" s="14"/>
      <c r="AM38" s="14"/>
      <c r="AN38" s="13"/>
      <c r="AO38" s="14"/>
      <c r="AP38" s="18"/>
      <c r="AQ38" s="18"/>
      <c r="AR38" s="14"/>
      <c r="AS38" s="13"/>
      <c r="AT38" s="24">
        <v>474</v>
      </c>
      <c r="AU38" s="18">
        <v>890</v>
      </c>
      <c r="AV38" s="115">
        <v>2847</v>
      </c>
      <c r="AW38" s="14">
        <v>15989</v>
      </c>
      <c r="AY38" s="24">
        <v>31052</v>
      </c>
      <c r="AZ38" s="18">
        <v>42721</v>
      </c>
      <c r="BA38" s="115"/>
      <c r="BB38" s="14"/>
    </row>
    <row r="39" spans="2:58" x14ac:dyDescent="0.25">
      <c r="B39" s="13"/>
      <c r="J39" s="13"/>
      <c r="O39" s="13"/>
      <c r="T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U39" s="13"/>
      <c r="AV39" s="13"/>
      <c r="AW39" s="13"/>
      <c r="AZ39" s="13"/>
      <c r="BA39" s="13"/>
      <c r="BB39" s="13"/>
    </row>
    <row r="40" spans="2:58" x14ac:dyDescent="0.25">
      <c r="B40" s="10" t="s">
        <v>35</v>
      </c>
      <c r="C40" s="11">
        <f t="shared" ref="C40:I40" si="1">C7+C21</f>
        <v>393655</v>
      </c>
      <c r="D40" s="11">
        <f t="shared" si="1"/>
        <v>483347</v>
      </c>
      <c r="E40" s="11">
        <f t="shared" si="1"/>
        <v>619827</v>
      </c>
      <c r="F40" s="11">
        <f t="shared" si="1"/>
        <v>704083</v>
      </c>
      <c r="G40" s="11">
        <f t="shared" si="1"/>
        <v>783480</v>
      </c>
      <c r="H40" s="11">
        <f t="shared" si="1"/>
        <v>788660</v>
      </c>
      <c r="I40" s="11">
        <f t="shared" si="1"/>
        <v>889107</v>
      </c>
      <c r="J40" s="10"/>
      <c r="K40" s="11">
        <v>1209614</v>
      </c>
      <c r="L40" s="11">
        <v>1403831</v>
      </c>
      <c r="M40" s="11">
        <v>1421505</v>
      </c>
      <c r="N40" s="11">
        <v>1148833</v>
      </c>
      <c r="O40" s="10"/>
      <c r="P40" s="11">
        <v>1579945</v>
      </c>
      <c r="Q40" s="11">
        <v>1557185</v>
      </c>
      <c r="R40" s="11">
        <v>1576298</v>
      </c>
      <c r="S40" s="11">
        <v>1637614</v>
      </c>
      <c r="T40" s="10"/>
      <c r="U40" s="11">
        <v>2213684</v>
      </c>
      <c r="V40" s="11">
        <v>1761976</v>
      </c>
      <c r="W40" s="11">
        <v>2157013</v>
      </c>
      <c r="X40" s="11">
        <v>2321373</v>
      </c>
      <c r="Y40" s="10"/>
      <c r="Z40" s="11">
        <v>3133942</v>
      </c>
      <c r="AA40" s="11">
        <v>3731347</v>
      </c>
      <c r="AB40" s="11">
        <v>4353136</v>
      </c>
      <c r="AC40" s="11">
        <v>4395601</v>
      </c>
      <c r="AD40" s="10"/>
      <c r="AE40" s="11">
        <v>5016524</v>
      </c>
      <c r="AF40" s="11">
        <v>5526146.0217500003</v>
      </c>
      <c r="AG40" s="11">
        <v>5828033</v>
      </c>
      <c r="AH40" s="11">
        <v>6081989</v>
      </c>
      <c r="AI40" s="10"/>
      <c r="AJ40" s="11">
        <v>6436034.7119999994</v>
      </c>
      <c r="AK40" s="11">
        <v>6262703</v>
      </c>
      <c r="AL40" s="11">
        <v>6622659</v>
      </c>
      <c r="AM40" s="11">
        <v>6883789</v>
      </c>
      <c r="AN40" s="10"/>
      <c r="AO40" s="11">
        <f>AO7+AO21</f>
        <v>7442511</v>
      </c>
      <c r="AP40" s="11">
        <f>AP7+AP21</f>
        <v>8530219</v>
      </c>
      <c r="AQ40" s="11">
        <f>AQ7+AQ21</f>
        <v>8538809</v>
      </c>
      <c r="AR40" s="11">
        <f>AR7+AR21</f>
        <v>8889423</v>
      </c>
      <c r="AS40" s="10"/>
      <c r="AT40" s="11">
        <f>AT7+AT21</f>
        <v>9833353</v>
      </c>
      <c r="AU40" s="11">
        <f>AU7+AU21</f>
        <v>11584408</v>
      </c>
      <c r="AV40" s="11">
        <f>AV7+AV21</f>
        <v>12381553</v>
      </c>
      <c r="AW40" s="11">
        <f>AW7+AW21</f>
        <v>13104355</v>
      </c>
      <c r="AY40" s="11">
        <f>AY7+AY21</f>
        <v>14646091</v>
      </c>
      <c r="AZ40" s="11">
        <f>AZ7+AZ21</f>
        <v>14480098</v>
      </c>
      <c r="BA40" s="11">
        <f>BA7+BA21</f>
        <v>0</v>
      </c>
      <c r="BB40" s="11">
        <f>BB7+BB21</f>
        <v>0</v>
      </c>
    </row>
    <row r="42" spans="2:58" s="20" customFormat="1" x14ac:dyDescent="0.25">
      <c r="C42" s="1"/>
      <c r="D42" s="1"/>
      <c r="E42" s="1"/>
      <c r="F42" s="1"/>
      <c r="G42" s="1"/>
      <c r="H42" s="1"/>
      <c r="I42" s="1"/>
      <c r="J42" s="25"/>
    </row>
    <row r="43" spans="2:58" customFormat="1" ht="14.4" x14ac:dyDescent="0.3">
      <c r="B43" s="1"/>
      <c r="C43" s="1"/>
      <c r="D43" s="1"/>
      <c r="E43" s="1"/>
      <c r="F43" s="1"/>
      <c r="G43" s="1"/>
      <c r="H43" s="1"/>
      <c r="I43" s="1"/>
      <c r="J43" s="2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</row>
    <row r="44" spans="2:58" customFormat="1" ht="14.4" x14ac:dyDescent="0.3">
      <c r="B44" s="1"/>
      <c r="C44" s="1"/>
      <c r="D44" s="1"/>
      <c r="E44" s="1"/>
      <c r="F44" s="1"/>
      <c r="G44" s="1"/>
      <c r="H44" s="1"/>
      <c r="I44" s="1"/>
      <c r="J44" s="2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</row>
    <row r="45" spans="2:58" customFormat="1" ht="14.4" x14ac:dyDescent="0.3">
      <c r="B45" s="1"/>
      <c r="C45" s="1"/>
      <c r="D45" s="1"/>
      <c r="E45" s="1"/>
      <c r="F45" s="1"/>
      <c r="G45" s="1"/>
      <c r="H45" s="1"/>
      <c r="I45" s="1"/>
      <c r="J45" s="22"/>
      <c r="K45" s="1"/>
      <c r="L45" s="1"/>
      <c r="M45" s="1"/>
      <c r="N45" s="1"/>
      <c r="O45" s="1"/>
      <c r="P45" s="1"/>
      <c r="Q45" s="1"/>
      <c r="R45" s="1"/>
      <c r="S45" s="1"/>
      <c r="T45" s="1"/>
      <c r="U45" s="15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</row>
    <row r="46" spans="2:58" customFormat="1" ht="14.4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D10D7-E424-46E9-A524-9BEC2451E4C3}">
  <sheetPr>
    <tabColor theme="4" tint="0.39997558519241921"/>
  </sheetPr>
  <dimension ref="B2:XFD50"/>
  <sheetViews>
    <sheetView showGridLines="0" zoomScaleNormal="100" workbookViewId="0">
      <pane xSplit="2" ySplit="5" topLeftCell="AW6" activePane="bottomRight" state="frozen"/>
      <selection activeCell="D13" sqref="D13"/>
      <selection pane="topRight" activeCell="D13" sqref="D13"/>
      <selection pane="bottomLeft" activeCell="D13" sqref="D13"/>
      <selection pane="bottomRight" activeCell="AY25" sqref="AY25"/>
    </sheetView>
  </sheetViews>
  <sheetFormatPr defaultColWidth="9.109375" defaultRowHeight="13.2" x14ac:dyDescent="0.25"/>
  <cols>
    <col min="1" max="1" width="1.44140625" style="1" customWidth="1"/>
    <col min="2" max="2" width="46.44140625" style="1" customWidth="1"/>
    <col min="3" max="9" width="12.6640625" style="1" customWidth="1"/>
    <col min="10" max="10" width="2.6640625" style="1" customWidth="1"/>
    <col min="11" max="14" width="12.6640625" style="1" customWidth="1"/>
    <col min="15" max="15" width="2.6640625" style="1" customWidth="1"/>
    <col min="16" max="17" width="12.6640625" style="1" customWidth="1"/>
    <col min="18" max="18" width="12.44140625" style="1" customWidth="1"/>
    <col min="19" max="19" width="12.6640625" style="1" customWidth="1"/>
    <col min="20" max="20" width="2.6640625" style="1" customWidth="1"/>
    <col min="21" max="24" width="12.6640625" style="1" customWidth="1"/>
    <col min="25" max="25" width="2.6640625" style="1" customWidth="1"/>
    <col min="26" max="29" width="12.6640625" style="1" customWidth="1"/>
    <col min="30" max="30" width="2.6640625" style="1" customWidth="1"/>
    <col min="31" max="34" width="12.6640625" style="1" customWidth="1"/>
    <col min="35" max="35" width="2.6640625" style="1" customWidth="1"/>
    <col min="36" max="39" width="12.6640625" style="1" customWidth="1"/>
    <col min="40" max="40" width="2.6640625" style="1" customWidth="1"/>
    <col min="41" max="44" width="12.6640625" style="1" customWidth="1"/>
    <col min="45" max="45" width="2.6640625" style="1" customWidth="1"/>
    <col min="46" max="49" width="12.6640625" style="1" customWidth="1"/>
    <col min="50" max="50" width="2.6640625" style="1" customWidth="1"/>
    <col min="51" max="54" width="12.6640625" style="1" customWidth="1"/>
    <col min="55" max="16384" width="9.109375" style="1"/>
  </cols>
  <sheetData>
    <row r="2" spans="2:54" x14ac:dyDescent="0.25">
      <c r="B2" s="2"/>
      <c r="C2" s="3">
        <v>2011</v>
      </c>
      <c r="D2" s="3">
        <v>2012</v>
      </c>
      <c r="E2" s="3">
        <v>2013</v>
      </c>
      <c r="F2" s="3">
        <v>2014</v>
      </c>
      <c r="G2" s="3">
        <v>2015</v>
      </c>
      <c r="H2" s="3">
        <v>2016</v>
      </c>
      <c r="I2" s="3">
        <v>2017</v>
      </c>
      <c r="J2" s="2"/>
      <c r="K2" s="123">
        <v>2018</v>
      </c>
      <c r="L2" s="123"/>
      <c r="M2" s="123"/>
      <c r="N2" s="123"/>
      <c r="O2" s="2"/>
      <c r="P2" s="123">
        <v>2019</v>
      </c>
      <c r="Q2" s="123"/>
      <c r="R2" s="123"/>
      <c r="S2" s="123"/>
      <c r="T2" s="2"/>
      <c r="U2" s="123">
        <v>2020</v>
      </c>
      <c r="V2" s="123"/>
      <c r="W2" s="123"/>
      <c r="X2" s="123"/>
      <c r="Y2" s="2"/>
      <c r="Z2" s="123">
        <v>2021</v>
      </c>
      <c r="AA2" s="123"/>
      <c r="AB2" s="123"/>
      <c r="AC2" s="123"/>
      <c r="AD2" s="2"/>
      <c r="AE2" s="123">
        <v>2022</v>
      </c>
      <c r="AF2" s="123"/>
      <c r="AG2" s="123"/>
      <c r="AH2" s="123"/>
      <c r="AI2" s="2"/>
      <c r="AJ2" s="123">
        <v>2023</v>
      </c>
      <c r="AK2" s="123"/>
      <c r="AL2" s="123"/>
      <c r="AM2" s="123"/>
      <c r="AN2" s="2"/>
      <c r="AO2" s="123">
        <v>2024</v>
      </c>
      <c r="AP2" s="123"/>
      <c r="AQ2" s="123"/>
      <c r="AR2" s="123"/>
      <c r="AS2" s="2"/>
      <c r="AT2" s="123">
        <v>2025</v>
      </c>
      <c r="AU2" s="123"/>
      <c r="AV2" s="123"/>
      <c r="AW2" s="123"/>
      <c r="AY2" s="123">
        <v>2026</v>
      </c>
      <c r="AZ2" s="123"/>
      <c r="BA2" s="123"/>
      <c r="BB2" s="123"/>
    </row>
    <row r="3" spans="2:54" x14ac:dyDescent="0.25">
      <c r="B3" s="2"/>
      <c r="C3" s="4" t="s">
        <v>0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2"/>
      <c r="K3" s="4" t="s">
        <v>7</v>
      </c>
      <c r="L3" s="4" t="s">
        <v>8</v>
      </c>
      <c r="M3" s="4" t="s">
        <v>9</v>
      </c>
      <c r="N3" s="4" t="s">
        <v>10</v>
      </c>
      <c r="O3" s="2"/>
      <c r="P3" s="4" t="s">
        <v>11</v>
      </c>
      <c r="Q3" s="4" t="s">
        <v>12</v>
      </c>
      <c r="R3" s="4" t="s">
        <v>13</v>
      </c>
      <c r="S3" s="4" t="s">
        <v>14</v>
      </c>
      <c r="T3" s="2"/>
      <c r="U3" s="4" t="s">
        <v>15</v>
      </c>
      <c r="V3" s="4" t="s">
        <v>16</v>
      </c>
      <c r="W3" s="4" t="s">
        <v>17</v>
      </c>
      <c r="X3" s="4" t="s">
        <v>18</v>
      </c>
      <c r="Y3" s="2"/>
      <c r="Z3" s="4" t="s">
        <v>19</v>
      </c>
      <c r="AA3" s="4" t="s">
        <v>20</v>
      </c>
      <c r="AB3" s="4" t="s">
        <v>21</v>
      </c>
      <c r="AC3" s="4" t="s">
        <v>221</v>
      </c>
      <c r="AD3" s="2"/>
      <c r="AE3" s="4" t="s">
        <v>227</v>
      </c>
      <c r="AF3" s="4" t="s">
        <v>231</v>
      </c>
      <c r="AG3" s="4" t="s">
        <v>234</v>
      </c>
      <c r="AH3" s="4" t="s">
        <v>238</v>
      </c>
      <c r="AI3" s="2"/>
      <c r="AJ3" s="4" t="s">
        <v>245</v>
      </c>
      <c r="AK3" s="4" t="s">
        <v>246</v>
      </c>
      <c r="AL3" s="4" t="s">
        <v>247</v>
      </c>
      <c r="AM3" s="4" t="s">
        <v>248</v>
      </c>
      <c r="AN3" s="2"/>
      <c r="AO3" s="4" t="s">
        <v>264</v>
      </c>
      <c r="AP3" s="4" t="s">
        <v>265</v>
      </c>
      <c r="AQ3" s="4" t="s">
        <v>266</v>
      </c>
      <c r="AR3" s="4" t="s">
        <v>267</v>
      </c>
      <c r="AS3" s="2"/>
      <c r="AT3" s="4" t="s">
        <v>281</v>
      </c>
      <c r="AU3" s="4" t="s">
        <v>282</v>
      </c>
      <c r="AV3" s="4" t="s">
        <v>283</v>
      </c>
      <c r="AW3" s="4" t="s">
        <v>284</v>
      </c>
      <c r="AY3" s="4" t="s">
        <v>338</v>
      </c>
      <c r="AZ3" s="4" t="s">
        <v>339</v>
      </c>
      <c r="BA3" s="4" t="s">
        <v>340</v>
      </c>
      <c r="BB3" s="4" t="s">
        <v>341</v>
      </c>
    </row>
    <row r="4" spans="2:54" x14ac:dyDescent="0.25">
      <c r="B4" s="10"/>
      <c r="C4" s="2"/>
      <c r="D4" s="2"/>
      <c r="E4" s="2"/>
      <c r="F4" s="2"/>
      <c r="G4" s="2"/>
      <c r="H4" s="2"/>
      <c r="I4" s="2"/>
      <c r="J4" s="10"/>
      <c r="O4" s="10"/>
      <c r="T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2"/>
      <c r="AK4" s="2"/>
      <c r="AL4" s="2"/>
      <c r="AM4" s="2"/>
      <c r="AN4" s="10"/>
      <c r="AO4" s="2"/>
      <c r="AP4" s="2"/>
      <c r="AQ4" s="2"/>
      <c r="AR4" s="2"/>
      <c r="AS4" s="10"/>
      <c r="AT4" s="2"/>
      <c r="AU4" s="2"/>
      <c r="AV4" s="2"/>
      <c r="AW4" s="2"/>
      <c r="AY4" s="2"/>
      <c r="AZ4" s="2"/>
      <c r="BA4" s="2"/>
      <c r="BB4" s="2"/>
    </row>
    <row r="5" spans="2:54" ht="15" customHeight="1" thickBot="1" x14ac:dyDescent="0.3">
      <c r="B5" s="6" t="s">
        <v>36</v>
      </c>
      <c r="C5" s="7">
        <v>40908</v>
      </c>
      <c r="D5" s="7">
        <v>41274</v>
      </c>
      <c r="E5" s="7">
        <v>41639</v>
      </c>
      <c r="F5" s="7">
        <v>42004</v>
      </c>
      <c r="G5" s="7">
        <v>42369</v>
      </c>
      <c r="H5" s="7">
        <v>42735</v>
      </c>
      <c r="I5" s="7">
        <v>43100</v>
      </c>
      <c r="J5" s="6"/>
      <c r="K5" s="7">
        <v>43190</v>
      </c>
      <c r="L5" s="7">
        <v>43281</v>
      </c>
      <c r="M5" s="7">
        <v>43373</v>
      </c>
      <c r="N5" s="7">
        <v>43465</v>
      </c>
      <c r="O5" s="6"/>
      <c r="P5" s="7">
        <v>43555</v>
      </c>
      <c r="Q5" s="7">
        <v>43646</v>
      </c>
      <c r="R5" s="7">
        <v>43738</v>
      </c>
      <c r="S5" s="7">
        <v>43830</v>
      </c>
      <c r="T5" s="6"/>
      <c r="U5" s="7">
        <v>43921</v>
      </c>
      <c r="V5" s="7">
        <v>44012</v>
      </c>
      <c r="W5" s="7">
        <v>44104</v>
      </c>
      <c r="X5" s="7">
        <v>44196</v>
      </c>
      <c r="Y5" s="6"/>
      <c r="Z5" s="7">
        <v>44286</v>
      </c>
      <c r="AA5" s="7">
        <v>44377</v>
      </c>
      <c r="AB5" s="7">
        <v>44469</v>
      </c>
      <c r="AC5" s="7">
        <v>44561</v>
      </c>
      <c r="AD5" s="6"/>
      <c r="AE5" s="7">
        <v>44651</v>
      </c>
      <c r="AF5" s="7">
        <v>44742</v>
      </c>
      <c r="AG5" s="7">
        <v>44834</v>
      </c>
      <c r="AH5" s="7">
        <v>44926</v>
      </c>
      <c r="AI5" s="6"/>
      <c r="AJ5" s="7">
        <v>45016</v>
      </c>
      <c r="AK5" s="7">
        <v>45107</v>
      </c>
      <c r="AL5" s="7">
        <v>45199</v>
      </c>
      <c r="AM5" s="7">
        <v>45291</v>
      </c>
      <c r="AN5" s="6"/>
      <c r="AO5" s="7">
        <v>45382</v>
      </c>
      <c r="AP5" s="7">
        <v>45473</v>
      </c>
      <c r="AQ5" s="7">
        <v>45565</v>
      </c>
      <c r="AR5" s="7">
        <v>45657</v>
      </c>
      <c r="AS5" s="6"/>
      <c r="AT5" s="7">
        <v>45747</v>
      </c>
      <c r="AU5" s="7">
        <v>45838</v>
      </c>
      <c r="AV5" s="7">
        <v>45930</v>
      </c>
      <c r="AW5" s="7">
        <v>46022</v>
      </c>
      <c r="AY5" s="7">
        <v>46112</v>
      </c>
      <c r="AZ5" s="7">
        <v>46203</v>
      </c>
      <c r="BA5" s="7">
        <v>46295</v>
      </c>
      <c r="BB5" s="7">
        <v>46387</v>
      </c>
    </row>
    <row r="6" spans="2:54" ht="15" customHeight="1" thickTop="1" x14ac:dyDescent="0.25">
      <c r="B6" s="29"/>
      <c r="C6" s="9"/>
      <c r="D6" s="9"/>
      <c r="E6" s="9"/>
      <c r="F6" s="9"/>
      <c r="G6" s="9"/>
      <c r="H6" s="9"/>
      <c r="I6" s="9"/>
      <c r="J6" s="29"/>
      <c r="O6" s="29"/>
      <c r="T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Y6" s="29"/>
      <c r="AZ6" s="29"/>
      <c r="BA6" s="29"/>
      <c r="BB6" s="29"/>
    </row>
    <row r="7" spans="2:54" ht="15" customHeight="1" x14ac:dyDescent="0.25">
      <c r="B7" s="10" t="s">
        <v>37</v>
      </c>
      <c r="C7" s="30">
        <v>240908</v>
      </c>
      <c r="D7" s="30">
        <v>299539</v>
      </c>
      <c r="E7" s="30">
        <v>393609</v>
      </c>
      <c r="F7" s="30">
        <v>407756</v>
      </c>
      <c r="G7" s="30">
        <v>503418</v>
      </c>
      <c r="H7" s="30">
        <v>577251</v>
      </c>
      <c r="I7" s="30">
        <v>640463</v>
      </c>
      <c r="J7" s="10"/>
      <c r="K7" s="30">
        <v>906379</v>
      </c>
      <c r="L7" s="30">
        <v>1073672</v>
      </c>
      <c r="M7" s="30">
        <v>1066281</v>
      </c>
      <c r="N7" s="30">
        <v>750850</v>
      </c>
      <c r="O7" s="10"/>
      <c r="P7" s="30">
        <v>1234202</v>
      </c>
      <c r="Q7" s="30">
        <v>1161982</v>
      </c>
      <c r="R7" s="30">
        <v>1140315</v>
      </c>
      <c r="S7" s="30">
        <v>1013811</v>
      </c>
      <c r="T7" s="10"/>
      <c r="U7" s="30">
        <v>1585889</v>
      </c>
      <c r="V7" s="30">
        <v>1109383</v>
      </c>
      <c r="W7" s="30">
        <v>1345950</v>
      </c>
      <c r="X7" s="30">
        <v>1365036</v>
      </c>
      <c r="Y7" s="10"/>
      <c r="Z7" s="30">
        <v>2094893</v>
      </c>
      <c r="AA7" s="30">
        <v>2616403</v>
      </c>
      <c r="AB7" s="30">
        <v>2044177</v>
      </c>
      <c r="AC7" s="30">
        <v>1831275</v>
      </c>
      <c r="AD7" s="10"/>
      <c r="AE7" s="30">
        <v>1984736</v>
      </c>
      <c r="AF7" s="30">
        <v>2417447</v>
      </c>
      <c r="AG7" s="30">
        <v>2629101</v>
      </c>
      <c r="AH7" s="30">
        <v>2739186</v>
      </c>
      <c r="AI7" s="10"/>
      <c r="AJ7" s="30">
        <v>2929521</v>
      </c>
      <c r="AK7" s="30">
        <v>2578445</v>
      </c>
      <c r="AL7" s="30">
        <v>2799379</v>
      </c>
      <c r="AM7" s="30">
        <v>2784746</v>
      </c>
      <c r="AN7" s="10"/>
      <c r="AO7" s="125">
        <f>SUM(AO8:AO16,AO17:AO19)</f>
        <v>3164288</v>
      </c>
      <c r="AP7" s="125">
        <f>SUM(AP8:AP16,AP17:AP19)</f>
        <v>3569024</v>
      </c>
      <c r="AQ7" s="125">
        <f>SUM(AQ8:AQ16,AQ17:AQ19)</f>
        <v>3391423</v>
      </c>
      <c r="AR7" s="125">
        <f>SUM(AR8:AR16,AR17:AR19)</f>
        <v>3666344</v>
      </c>
      <c r="AS7" s="10"/>
      <c r="AT7" s="125">
        <f>SUM(AT8:AT16,AT17:AT19)</f>
        <v>4442020</v>
      </c>
      <c r="AU7" s="125">
        <f>SUM(AU8:AU16,AU17:AU19)</f>
        <v>4712806</v>
      </c>
      <c r="AV7" s="125">
        <f>SUM(AV8:AV16,AV17:AV19)</f>
        <v>5451379</v>
      </c>
      <c r="AW7" s="125">
        <f>SUM(AW8:AW16,AW17:AW19)</f>
        <v>6000713</v>
      </c>
      <c r="AY7" s="125">
        <f>SUM(AY8:AY16,AY17:AY19)</f>
        <v>7328659</v>
      </c>
      <c r="AZ7" s="125">
        <f>SUM(AZ8:AZ16,AZ17:AZ19)</f>
        <v>6467916</v>
      </c>
      <c r="BA7" s="125">
        <f>SUM(BA8:BA16,BA17:BA19)</f>
        <v>0</v>
      </c>
      <c r="BB7" s="125">
        <f>SUM(BB8:BB16,BB17:BB19)</f>
        <v>0</v>
      </c>
    </row>
    <row r="8" spans="2:54" ht="15" customHeight="1" x14ac:dyDescent="0.25">
      <c r="B8" s="13" t="s">
        <v>38</v>
      </c>
      <c r="C8" s="14">
        <v>1162</v>
      </c>
      <c r="D8" s="14">
        <v>1495</v>
      </c>
      <c r="E8" s="14">
        <v>2817</v>
      </c>
      <c r="F8" s="14">
        <v>3910</v>
      </c>
      <c r="G8" s="14">
        <v>5340</v>
      </c>
      <c r="H8" s="14">
        <v>5749</v>
      </c>
      <c r="I8" s="14">
        <v>6784</v>
      </c>
      <c r="J8" s="13"/>
      <c r="K8" s="14">
        <v>8387</v>
      </c>
      <c r="L8" s="14">
        <v>9157</v>
      </c>
      <c r="M8" s="14">
        <v>11142</v>
      </c>
      <c r="N8" s="14">
        <v>9374</v>
      </c>
      <c r="O8" s="13"/>
      <c r="P8" s="14">
        <v>10506</v>
      </c>
      <c r="Q8" s="14">
        <v>12180</v>
      </c>
      <c r="R8" s="14">
        <v>14671</v>
      </c>
      <c r="S8" s="14">
        <v>13071</v>
      </c>
      <c r="T8" s="13"/>
      <c r="U8" s="14">
        <v>14748</v>
      </c>
      <c r="V8" s="14">
        <v>13769</v>
      </c>
      <c r="W8" s="14">
        <v>16788</v>
      </c>
      <c r="X8" s="14">
        <v>19513</v>
      </c>
      <c r="Y8" s="13"/>
      <c r="Z8" s="14">
        <v>15706</v>
      </c>
      <c r="AA8" s="14">
        <v>19388</v>
      </c>
      <c r="AB8" s="14">
        <v>24039</v>
      </c>
      <c r="AC8" s="14">
        <v>28503</v>
      </c>
      <c r="AD8" s="13"/>
      <c r="AE8" s="14">
        <v>23701</v>
      </c>
      <c r="AF8" s="14">
        <v>29948</v>
      </c>
      <c r="AG8" s="14">
        <v>33484</v>
      </c>
      <c r="AH8" s="14">
        <v>39612</v>
      </c>
      <c r="AI8" s="13"/>
      <c r="AJ8" s="14">
        <v>32657.38912</v>
      </c>
      <c r="AK8" s="14">
        <v>38062</v>
      </c>
      <c r="AL8" s="14">
        <v>44251</v>
      </c>
      <c r="AM8" s="14">
        <v>48610</v>
      </c>
      <c r="AN8" s="13"/>
      <c r="AO8" s="14">
        <v>38205</v>
      </c>
      <c r="AP8" s="14">
        <v>47882</v>
      </c>
      <c r="AQ8" s="24">
        <v>53938</v>
      </c>
      <c r="AR8" s="14">
        <v>80669</v>
      </c>
      <c r="AS8" s="13"/>
      <c r="AT8" s="18">
        <v>49532</v>
      </c>
      <c r="AU8" s="14">
        <v>59138</v>
      </c>
      <c r="AV8" s="24">
        <v>67712</v>
      </c>
      <c r="AW8" s="14">
        <v>98477</v>
      </c>
      <c r="AY8" s="18">
        <v>64866</v>
      </c>
      <c r="AZ8" s="14">
        <v>75083</v>
      </c>
      <c r="BA8" s="24"/>
      <c r="BB8" s="14"/>
    </row>
    <row r="9" spans="2:54" ht="15" customHeight="1" x14ac:dyDescent="0.25">
      <c r="B9" s="13" t="s">
        <v>39</v>
      </c>
      <c r="C9" s="14">
        <v>34235</v>
      </c>
      <c r="D9" s="14">
        <v>67560</v>
      </c>
      <c r="E9" s="14">
        <v>84163</v>
      </c>
      <c r="F9" s="14">
        <v>98861</v>
      </c>
      <c r="G9" s="14">
        <v>175587</v>
      </c>
      <c r="H9" s="14">
        <v>337537</v>
      </c>
      <c r="I9" s="14">
        <v>397863</v>
      </c>
      <c r="J9" s="13"/>
      <c r="K9" s="14">
        <v>338301</v>
      </c>
      <c r="L9" s="14">
        <v>236097</v>
      </c>
      <c r="M9" s="14">
        <v>312654</v>
      </c>
      <c r="N9" s="14">
        <v>444230</v>
      </c>
      <c r="O9" s="13"/>
      <c r="P9" s="14">
        <v>455591</v>
      </c>
      <c r="Q9" s="14">
        <v>363459</v>
      </c>
      <c r="R9" s="14">
        <v>453075</v>
      </c>
      <c r="S9" s="14">
        <v>643460</v>
      </c>
      <c r="T9" s="13"/>
      <c r="U9" s="14">
        <v>1156323</v>
      </c>
      <c r="V9" s="14">
        <v>509895</v>
      </c>
      <c r="W9" s="14">
        <v>801750</v>
      </c>
      <c r="X9" s="14">
        <v>866549</v>
      </c>
      <c r="Y9" s="13"/>
      <c r="Z9" s="14">
        <v>1173576</v>
      </c>
      <c r="AA9" s="14">
        <v>1282911</v>
      </c>
      <c r="AB9" s="14">
        <v>1218823</v>
      </c>
      <c r="AC9" s="14">
        <v>1225903</v>
      </c>
      <c r="AD9" s="13"/>
      <c r="AE9" s="14">
        <v>1270958</v>
      </c>
      <c r="AF9" s="14">
        <v>1544499</v>
      </c>
      <c r="AG9" s="14">
        <v>1907106</v>
      </c>
      <c r="AH9" s="14">
        <v>1966774</v>
      </c>
      <c r="AI9" s="13"/>
      <c r="AJ9" s="14">
        <v>2066913.11723</v>
      </c>
      <c r="AK9" s="14">
        <v>1698076</v>
      </c>
      <c r="AL9" s="14">
        <v>1871853</v>
      </c>
      <c r="AM9" s="14">
        <v>2032130</v>
      </c>
      <c r="AN9" s="13"/>
      <c r="AO9" s="14">
        <v>2323632</v>
      </c>
      <c r="AP9" s="14">
        <v>2430176</v>
      </c>
      <c r="AQ9" s="24">
        <v>2199118</v>
      </c>
      <c r="AR9" s="14">
        <v>2073245</v>
      </c>
      <c r="AS9" s="13"/>
      <c r="AT9" s="18">
        <v>3098436</v>
      </c>
      <c r="AU9" s="14">
        <v>2471890</v>
      </c>
      <c r="AV9" s="24">
        <v>2692276</v>
      </c>
      <c r="AW9" s="14">
        <v>2816665</v>
      </c>
      <c r="AY9" s="18">
        <v>4043474</v>
      </c>
      <c r="AZ9" s="14">
        <v>3289804</v>
      </c>
      <c r="BA9" s="24"/>
      <c r="BB9" s="14"/>
    </row>
    <row r="10" spans="2:54" ht="15" customHeight="1" x14ac:dyDescent="0.25">
      <c r="B10" s="13" t="s">
        <v>306</v>
      </c>
      <c r="C10" s="14"/>
      <c r="D10" s="14"/>
      <c r="E10" s="14"/>
      <c r="F10" s="14"/>
      <c r="G10" s="14"/>
      <c r="H10" s="14"/>
      <c r="I10" s="14"/>
      <c r="J10" s="13"/>
      <c r="K10" s="14"/>
      <c r="L10" s="14"/>
      <c r="M10" s="14"/>
      <c r="N10" s="14"/>
      <c r="O10" s="13"/>
      <c r="P10" s="14"/>
      <c r="Q10" s="14"/>
      <c r="R10" s="14"/>
      <c r="S10" s="14"/>
      <c r="T10" s="13"/>
      <c r="U10" s="14"/>
      <c r="V10" s="14"/>
      <c r="W10" s="14"/>
      <c r="X10" s="14"/>
      <c r="Y10" s="13"/>
      <c r="Z10" s="14"/>
      <c r="AA10" s="14"/>
      <c r="AB10" s="14"/>
      <c r="AC10" s="14"/>
      <c r="AD10" s="13"/>
      <c r="AE10" s="14"/>
      <c r="AF10" s="14"/>
      <c r="AG10" s="14"/>
      <c r="AH10" s="14"/>
      <c r="AI10" s="13"/>
      <c r="AJ10" s="14"/>
      <c r="AK10" s="14"/>
      <c r="AL10" s="14"/>
      <c r="AM10" s="14"/>
      <c r="AN10" s="13"/>
      <c r="AO10" s="14"/>
      <c r="AP10" s="14"/>
      <c r="AQ10" s="24"/>
      <c r="AR10" s="14">
        <v>87180</v>
      </c>
      <c r="AS10" s="13"/>
      <c r="AT10" s="18">
        <v>146</v>
      </c>
      <c r="AU10" s="14">
        <v>4363</v>
      </c>
      <c r="AV10" s="24">
        <v>74074</v>
      </c>
      <c r="AW10" s="14">
        <v>23249</v>
      </c>
      <c r="AY10" s="18">
        <v>55177</v>
      </c>
      <c r="AZ10" s="14">
        <v>377</v>
      </c>
      <c r="BA10" s="24"/>
      <c r="BB10" s="14"/>
    </row>
    <row r="11" spans="2:54" ht="15" customHeight="1" x14ac:dyDescent="0.25">
      <c r="B11" s="13" t="s">
        <v>40</v>
      </c>
      <c r="C11" s="14">
        <v>140</v>
      </c>
      <c r="D11" s="14">
        <v>153</v>
      </c>
      <c r="E11" s="14">
        <v>1114</v>
      </c>
      <c r="F11" s="14">
        <v>5283</v>
      </c>
      <c r="G11" s="14">
        <v>1444</v>
      </c>
      <c r="H11" s="14">
        <v>362</v>
      </c>
      <c r="I11" s="14">
        <v>2271</v>
      </c>
      <c r="J11" s="13"/>
      <c r="K11" s="14">
        <v>4281</v>
      </c>
      <c r="L11" s="14">
        <v>4393</v>
      </c>
      <c r="M11" s="14">
        <v>9909</v>
      </c>
      <c r="N11" s="14">
        <v>7619</v>
      </c>
      <c r="O11" s="13"/>
      <c r="P11" s="14">
        <v>1406</v>
      </c>
      <c r="Q11" s="14">
        <v>2079</v>
      </c>
      <c r="R11" s="14">
        <v>10296</v>
      </c>
      <c r="S11" s="14">
        <v>16663</v>
      </c>
      <c r="T11" s="13"/>
      <c r="U11" s="14">
        <v>1887</v>
      </c>
      <c r="V11" s="18">
        <v>1493</v>
      </c>
      <c r="W11" s="14">
        <v>13887</v>
      </c>
      <c r="X11" s="14">
        <v>17441</v>
      </c>
      <c r="Y11" s="13"/>
      <c r="Z11" s="14">
        <v>9668</v>
      </c>
      <c r="AA11" s="14">
        <v>26897</v>
      </c>
      <c r="AB11" s="14">
        <v>14162</v>
      </c>
      <c r="AC11" s="14">
        <v>13803</v>
      </c>
      <c r="AD11" s="13"/>
      <c r="AE11" s="14">
        <v>16919</v>
      </c>
      <c r="AF11" s="14">
        <v>20208</v>
      </c>
      <c r="AG11" s="14">
        <v>19493</v>
      </c>
      <c r="AH11" s="14">
        <v>17923</v>
      </c>
      <c r="AI11" s="13"/>
      <c r="AJ11" s="14">
        <v>18914.52493</v>
      </c>
      <c r="AK11" s="14">
        <v>13257</v>
      </c>
      <c r="AL11" s="14">
        <v>9792</v>
      </c>
      <c r="AM11" s="14">
        <v>12613</v>
      </c>
      <c r="AN11" s="13"/>
      <c r="AO11" s="14">
        <v>19285</v>
      </c>
      <c r="AP11" s="14">
        <v>17842</v>
      </c>
      <c r="AQ11" s="24">
        <v>43111</v>
      </c>
      <c r="AR11" s="14">
        <v>17499</v>
      </c>
      <c r="AS11" s="13"/>
      <c r="AT11" s="18">
        <v>25922</v>
      </c>
      <c r="AU11" s="14">
        <v>6580</v>
      </c>
      <c r="AV11" s="24">
        <v>20129</v>
      </c>
      <c r="AW11" s="14">
        <v>23841</v>
      </c>
      <c r="AY11" s="18">
        <v>35438</v>
      </c>
      <c r="AZ11" s="14">
        <v>25009</v>
      </c>
      <c r="BA11" s="24"/>
      <c r="BB11" s="14"/>
    </row>
    <row r="12" spans="2:54" ht="15" customHeight="1" x14ac:dyDescent="0.25">
      <c r="B12" s="13" t="s">
        <v>41</v>
      </c>
      <c r="C12" s="14">
        <v>94083</v>
      </c>
      <c r="D12" s="14">
        <v>167054</v>
      </c>
      <c r="E12" s="14">
        <v>229663</v>
      </c>
      <c r="F12" s="14">
        <v>227567</v>
      </c>
      <c r="G12" s="14">
        <v>265251</v>
      </c>
      <c r="H12" s="14">
        <v>224643</v>
      </c>
      <c r="I12" s="14">
        <v>223740</v>
      </c>
      <c r="J12" s="13"/>
      <c r="K12" s="14">
        <v>227213</v>
      </c>
      <c r="L12" s="14">
        <v>272141</v>
      </c>
      <c r="M12" s="14">
        <v>249699</v>
      </c>
      <c r="N12" s="14">
        <v>267741</v>
      </c>
      <c r="O12" s="13"/>
      <c r="P12" s="14">
        <v>243355</v>
      </c>
      <c r="Q12" s="14">
        <v>291275</v>
      </c>
      <c r="R12" s="14">
        <v>339793</v>
      </c>
      <c r="S12" s="14">
        <v>303666</v>
      </c>
      <c r="T12" s="13"/>
      <c r="U12" s="14">
        <v>361417</v>
      </c>
      <c r="V12" s="18">
        <v>452770</v>
      </c>
      <c r="W12" s="14">
        <v>424616</v>
      </c>
      <c r="X12" s="14">
        <v>406155</v>
      </c>
      <c r="Y12" s="13"/>
      <c r="Z12" s="14">
        <v>695608</v>
      </c>
      <c r="AA12" s="14">
        <v>719340</v>
      </c>
      <c r="AB12" s="14">
        <v>672549</v>
      </c>
      <c r="AC12" s="14">
        <v>488866</v>
      </c>
      <c r="AD12" s="13"/>
      <c r="AE12" s="14">
        <v>574275</v>
      </c>
      <c r="AF12" s="14">
        <v>740273</v>
      </c>
      <c r="AG12" s="14">
        <v>567206</v>
      </c>
      <c r="AH12" s="14">
        <v>599144</v>
      </c>
      <c r="AI12" s="13"/>
      <c r="AJ12" s="14">
        <v>694044.32750000013</v>
      </c>
      <c r="AK12" s="14">
        <v>658850</v>
      </c>
      <c r="AL12" s="14">
        <v>651830</v>
      </c>
      <c r="AM12" s="14">
        <v>562129</v>
      </c>
      <c r="AN12" s="13"/>
      <c r="AO12" s="14">
        <v>608856</v>
      </c>
      <c r="AP12" s="14">
        <v>649752</v>
      </c>
      <c r="AQ12" s="24">
        <v>785800</v>
      </c>
      <c r="AR12" s="14">
        <v>921068</v>
      </c>
      <c r="AS12" s="13"/>
      <c r="AT12" s="18">
        <v>1009119</v>
      </c>
      <c r="AU12" s="14">
        <v>1718506</v>
      </c>
      <c r="AV12" s="24">
        <v>1923309</v>
      </c>
      <c r="AW12" s="14">
        <v>2344340</v>
      </c>
      <c r="AY12" s="18">
        <v>2308979</v>
      </c>
      <c r="AZ12" s="14">
        <v>2162826</v>
      </c>
      <c r="BA12" s="24"/>
      <c r="BB12" s="14"/>
    </row>
    <row r="13" spans="2:54" ht="15" customHeight="1" x14ac:dyDescent="0.25">
      <c r="B13" s="31" t="s">
        <v>237</v>
      </c>
      <c r="C13" s="14">
        <v>55740</v>
      </c>
      <c r="D13" s="14">
        <v>39124</v>
      </c>
      <c r="E13" s="14">
        <v>46176</v>
      </c>
      <c r="F13" s="14">
        <v>43156</v>
      </c>
      <c r="G13" s="14">
        <v>18994</v>
      </c>
      <c r="H13" s="14">
        <v>7071</v>
      </c>
      <c r="I13" s="14">
        <v>5355</v>
      </c>
      <c r="J13" s="13"/>
      <c r="K13" s="14">
        <v>286266</v>
      </c>
      <c r="L13" s="14">
        <v>327694</v>
      </c>
      <c r="M13" s="14">
        <v>160304</v>
      </c>
      <c r="N13" s="14">
        <v>1014</v>
      </c>
      <c r="O13" s="13"/>
      <c r="P13" s="14">
        <v>506252</v>
      </c>
      <c r="Q13" s="14">
        <v>421301</v>
      </c>
      <c r="R13" s="14">
        <v>262116</v>
      </c>
      <c r="S13" s="14">
        <v>994</v>
      </c>
      <c r="T13" s="13"/>
      <c r="U13" s="14">
        <v>20685</v>
      </c>
      <c r="V13" s="18">
        <v>48645</v>
      </c>
      <c r="W13" s="14">
        <v>67050</v>
      </c>
      <c r="X13" s="14">
        <v>26788</v>
      </c>
      <c r="Y13" s="13"/>
      <c r="Z13" s="14">
        <v>162762</v>
      </c>
      <c r="AA13" s="14">
        <v>302519</v>
      </c>
      <c r="AB13" s="14">
        <v>25217</v>
      </c>
      <c r="AC13" s="14">
        <v>39402</v>
      </c>
      <c r="AD13" s="13"/>
      <c r="AE13" s="14">
        <v>39382</v>
      </c>
      <c r="AF13" s="14">
        <v>26072</v>
      </c>
      <c r="AG13" s="14">
        <v>24130</v>
      </c>
      <c r="AH13" s="14">
        <v>39739</v>
      </c>
      <c r="AI13" s="13"/>
      <c r="AJ13" s="14">
        <v>48188.074509999999</v>
      </c>
      <c r="AK13" s="14">
        <v>71483</v>
      </c>
      <c r="AL13" s="14">
        <v>131910</v>
      </c>
      <c r="AM13" s="14">
        <v>77445</v>
      </c>
      <c r="AN13" s="13"/>
      <c r="AO13" s="14">
        <v>63195</v>
      </c>
      <c r="AP13" s="14">
        <v>307908</v>
      </c>
      <c r="AQ13" s="24">
        <v>147648</v>
      </c>
      <c r="AR13" s="14">
        <v>330591</v>
      </c>
      <c r="AS13" s="13"/>
      <c r="AT13" s="18">
        <v>111201</v>
      </c>
      <c r="AU13" s="14">
        <v>114835</v>
      </c>
      <c r="AV13" s="24">
        <v>221842</v>
      </c>
      <c r="AW13" s="14">
        <v>200348</v>
      </c>
      <c r="AY13" s="18">
        <v>431160</v>
      </c>
      <c r="AZ13" s="14">
        <v>328630</v>
      </c>
      <c r="BA13" s="24"/>
      <c r="BB13" s="14"/>
    </row>
    <row r="14" spans="2:54" ht="15" customHeight="1" x14ac:dyDescent="0.25">
      <c r="B14" s="31" t="s">
        <v>42</v>
      </c>
      <c r="C14" s="14">
        <v>52394</v>
      </c>
      <c r="D14" s="14">
        <v>20318</v>
      </c>
      <c r="E14" s="14">
        <v>28089</v>
      </c>
      <c r="F14" s="14">
        <v>28114</v>
      </c>
      <c r="G14" s="14">
        <v>36295</v>
      </c>
      <c r="H14" s="14">
        <v>917</v>
      </c>
      <c r="I14" s="14">
        <v>2983</v>
      </c>
      <c r="J14" s="13"/>
      <c r="K14" s="14">
        <v>4831</v>
      </c>
      <c r="L14" s="14">
        <v>86553</v>
      </c>
      <c r="M14" s="14">
        <v>66582</v>
      </c>
      <c r="N14" s="14">
        <v>11642</v>
      </c>
      <c r="O14" s="13"/>
      <c r="P14" s="14">
        <v>12425</v>
      </c>
      <c r="Q14" s="14">
        <v>52775</v>
      </c>
      <c r="R14" s="14">
        <v>30337</v>
      </c>
      <c r="S14" s="14">
        <v>18615</v>
      </c>
      <c r="T14" s="13"/>
      <c r="U14" s="14">
        <v>23578</v>
      </c>
      <c r="V14" s="18">
        <v>66761</v>
      </c>
      <c r="W14" s="14">
        <v>6666</v>
      </c>
      <c r="X14" s="14">
        <v>5331</v>
      </c>
      <c r="Y14" s="13"/>
      <c r="Z14" s="14">
        <v>10174</v>
      </c>
      <c r="AA14" s="14">
        <v>235422</v>
      </c>
      <c r="AB14" s="14">
        <v>54260</v>
      </c>
      <c r="AC14" s="14">
        <v>8789</v>
      </c>
      <c r="AD14" s="13"/>
      <c r="AE14" s="14">
        <v>13316</v>
      </c>
      <c r="AF14" s="14">
        <v>9048</v>
      </c>
      <c r="AG14" s="14">
        <v>12823</v>
      </c>
      <c r="AH14" s="14">
        <v>16455</v>
      </c>
      <c r="AI14" s="13"/>
      <c r="AJ14" s="14">
        <v>30981.83812</v>
      </c>
      <c r="AK14" s="14">
        <v>63357</v>
      </c>
      <c r="AL14" s="14">
        <v>50940</v>
      </c>
      <c r="AM14" s="14">
        <v>22451</v>
      </c>
      <c r="AN14" s="13"/>
      <c r="AO14" s="14">
        <v>74217</v>
      </c>
      <c r="AP14" s="14">
        <v>84041</v>
      </c>
      <c r="AQ14" s="24">
        <v>62041</v>
      </c>
      <c r="AR14" s="14">
        <v>23716</v>
      </c>
      <c r="AS14" s="13"/>
      <c r="AT14" s="18">
        <v>60123</v>
      </c>
      <c r="AU14" s="14">
        <v>243553</v>
      </c>
      <c r="AV14" s="24">
        <v>329762</v>
      </c>
      <c r="AW14" s="14">
        <v>256005</v>
      </c>
      <c r="AY14" s="18">
        <v>232023</v>
      </c>
      <c r="AZ14" s="14">
        <v>491713</v>
      </c>
      <c r="BA14" s="24"/>
      <c r="BB14" s="14"/>
    </row>
    <row r="15" spans="2:54" ht="15" customHeight="1" x14ac:dyDescent="0.25">
      <c r="B15" s="31" t="s">
        <v>317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3"/>
      <c r="K15" s="14">
        <v>0</v>
      </c>
      <c r="L15" s="14">
        <v>0</v>
      </c>
      <c r="M15" s="14">
        <v>0</v>
      </c>
      <c r="N15" s="14">
        <v>0</v>
      </c>
      <c r="O15" s="13"/>
      <c r="P15" s="14">
        <v>0</v>
      </c>
      <c r="Q15" s="14">
        <v>0</v>
      </c>
      <c r="R15" s="14">
        <v>0</v>
      </c>
      <c r="S15" s="14">
        <v>2950</v>
      </c>
      <c r="T15" s="13"/>
      <c r="U15" s="14">
        <v>2058</v>
      </c>
      <c r="V15" s="14">
        <v>1674</v>
      </c>
      <c r="W15" s="14">
        <v>1166</v>
      </c>
      <c r="X15" s="14">
        <v>687</v>
      </c>
      <c r="Y15" s="13"/>
      <c r="Z15" s="14">
        <v>399</v>
      </c>
      <c r="AA15" s="14">
        <v>5623</v>
      </c>
      <c r="AB15" s="14">
        <v>3260</v>
      </c>
      <c r="AC15" s="14">
        <v>4204</v>
      </c>
      <c r="AD15" s="13"/>
      <c r="AE15" s="14">
        <v>4429</v>
      </c>
      <c r="AF15" s="14">
        <v>4609</v>
      </c>
      <c r="AG15" s="14">
        <v>4756</v>
      </c>
      <c r="AH15" s="14">
        <v>6936</v>
      </c>
      <c r="AI15" s="13"/>
      <c r="AJ15" s="14">
        <v>7208.22055</v>
      </c>
      <c r="AK15" s="14">
        <v>6457</v>
      </c>
      <c r="AL15" s="14">
        <v>6098</v>
      </c>
      <c r="AM15" s="14">
        <v>5802</v>
      </c>
      <c r="AN15" s="13"/>
      <c r="AO15" s="14">
        <v>5213</v>
      </c>
      <c r="AP15" s="14">
        <v>5275</v>
      </c>
      <c r="AQ15" s="24">
        <v>5168</v>
      </c>
      <c r="AR15" s="14">
        <v>7416</v>
      </c>
      <c r="AS15" s="13"/>
      <c r="AT15" s="18">
        <v>8293</v>
      </c>
      <c r="AU15" s="14">
        <v>6612</v>
      </c>
      <c r="AV15" s="24">
        <v>6730</v>
      </c>
      <c r="AW15" s="14">
        <v>8096</v>
      </c>
      <c r="AY15" s="18">
        <v>8537</v>
      </c>
      <c r="AZ15" s="14">
        <v>9247</v>
      </c>
      <c r="BA15" s="24"/>
      <c r="BB15" s="14"/>
    </row>
    <row r="16" spans="2:54" ht="15" customHeight="1" x14ac:dyDescent="0.25">
      <c r="B16" s="31" t="s">
        <v>43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3"/>
      <c r="K16" s="14">
        <v>0</v>
      </c>
      <c r="L16" s="14">
        <v>0</v>
      </c>
      <c r="M16" s="14">
        <v>0</v>
      </c>
      <c r="N16" s="14">
        <v>0</v>
      </c>
      <c r="O16" s="13"/>
      <c r="P16" s="14">
        <v>0</v>
      </c>
      <c r="Q16" s="14">
        <v>0</v>
      </c>
      <c r="R16" s="14">
        <v>0</v>
      </c>
      <c r="S16" s="14">
        <v>0</v>
      </c>
      <c r="T16" s="13"/>
      <c r="U16" s="14">
        <v>711</v>
      </c>
      <c r="V16" s="14">
        <v>401</v>
      </c>
      <c r="W16" s="14">
        <v>5535</v>
      </c>
      <c r="X16" s="14">
        <v>1459</v>
      </c>
      <c r="Y16" s="13"/>
      <c r="Z16" s="14">
        <v>1366</v>
      </c>
      <c r="AA16" s="14">
        <v>1296</v>
      </c>
      <c r="AB16" s="14">
        <v>1296</v>
      </c>
      <c r="AC16" s="14">
        <v>1314</v>
      </c>
      <c r="AD16" s="13"/>
      <c r="AE16" s="14">
        <v>1331</v>
      </c>
      <c r="AF16" s="14">
        <v>1351</v>
      </c>
      <c r="AG16" s="14">
        <v>1374</v>
      </c>
      <c r="AH16" s="14">
        <v>1396</v>
      </c>
      <c r="AI16" s="13"/>
      <c r="AJ16" s="14">
        <v>1419.02748</v>
      </c>
      <c r="AK16" s="14">
        <v>1442</v>
      </c>
      <c r="AL16" s="14">
        <v>1466</v>
      </c>
      <c r="AM16" s="14">
        <v>1487</v>
      </c>
      <c r="AN16" s="13"/>
      <c r="AO16" s="14">
        <v>1506</v>
      </c>
      <c r="AP16" s="14">
        <v>1524</v>
      </c>
      <c r="AQ16" s="24">
        <v>1282</v>
      </c>
      <c r="AR16" s="14">
        <v>1092</v>
      </c>
      <c r="AS16" s="13"/>
      <c r="AT16" s="18">
        <v>864</v>
      </c>
      <c r="AU16" s="14">
        <v>628</v>
      </c>
      <c r="AV16" s="24">
        <v>383</v>
      </c>
      <c r="AW16" s="14">
        <v>383</v>
      </c>
      <c r="AY16" s="18">
        <v>383</v>
      </c>
      <c r="AZ16" s="14">
        <v>383</v>
      </c>
      <c r="BA16" s="24"/>
      <c r="BB16" s="14"/>
    </row>
    <row r="17" spans="2:54 16384:16384" ht="15" customHeight="1" x14ac:dyDescent="0.25">
      <c r="B17" s="13" t="s">
        <v>44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3"/>
      <c r="K17" s="14">
        <v>34249</v>
      </c>
      <c r="L17" s="14">
        <v>127871</v>
      </c>
      <c r="M17" s="14">
        <v>251890</v>
      </c>
      <c r="N17" s="14">
        <v>0</v>
      </c>
      <c r="O17" s="13"/>
      <c r="P17" s="14">
        <v>0</v>
      </c>
      <c r="Q17" s="14">
        <v>0</v>
      </c>
      <c r="R17" s="14">
        <v>0</v>
      </c>
      <c r="S17" s="14">
        <v>0</v>
      </c>
      <c r="T17" s="13"/>
      <c r="U17" s="14">
        <v>0</v>
      </c>
      <c r="V17" s="14">
        <v>0</v>
      </c>
      <c r="W17" s="14">
        <v>0</v>
      </c>
      <c r="X17" s="14">
        <v>0</v>
      </c>
      <c r="Y17" s="13"/>
      <c r="Z17" s="14">
        <v>0</v>
      </c>
      <c r="AA17" s="14">
        <v>0</v>
      </c>
      <c r="AB17" s="14">
        <v>0</v>
      </c>
      <c r="AC17" s="14">
        <v>0</v>
      </c>
      <c r="AD17" s="13"/>
      <c r="AE17" s="14">
        <v>0</v>
      </c>
      <c r="AF17" s="14">
        <v>0</v>
      </c>
      <c r="AG17" s="14">
        <v>0</v>
      </c>
      <c r="AH17" s="14" t="s">
        <v>239</v>
      </c>
      <c r="AI17" s="13"/>
      <c r="AJ17" s="18">
        <v>0</v>
      </c>
      <c r="AK17" s="14">
        <v>0</v>
      </c>
      <c r="AL17" s="14">
        <v>0</v>
      </c>
      <c r="AM17" s="14">
        <v>0</v>
      </c>
      <c r="AN17" s="13"/>
      <c r="AO17" s="14">
        <v>0</v>
      </c>
      <c r="AP17" s="14">
        <v>0</v>
      </c>
      <c r="AQ17" s="18">
        <v>0</v>
      </c>
      <c r="AR17" s="14">
        <v>0</v>
      </c>
      <c r="AS17" s="13"/>
      <c r="AT17" s="18">
        <v>0</v>
      </c>
      <c r="AU17" s="14">
        <v>0</v>
      </c>
      <c r="AV17" s="18">
        <v>0</v>
      </c>
      <c r="AW17" s="18">
        <v>0</v>
      </c>
      <c r="AY17" s="18">
        <v>0</v>
      </c>
      <c r="AZ17" s="14">
        <v>0</v>
      </c>
      <c r="BA17" s="18"/>
      <c r="BB17" s="18"/>
    </row>
    <row r="18" spans="2:54 16384:16384" ht="15" customHeight="1" x14ac:dyDescent="0.25">
      <c r="B18" s="13" t="s">
        <v>45</v>
      </c>
      <c r="C18" s="14">
        <v>1500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3"/>
      <c r="K18" s="14">
        <v>0</v>
      </c>
      <c r="L18" s="14">
        <v>0</v>
      </c>
      <c r="M18" s="14">
        <v>0</v>
      </c>
      <c r="N18" s="14">
        <v>0</v>
      </c>
      <c r="O18" s="13"/>
      <c r="P18" s="14">
        <v>0</v>
      </c>
      <c r="Q18" s="14">
        <v>0</v>
      </c>
      <c r="R18" s="14">
        <v>0</v>
      </c>
      <c r="S18" s="14">
        <v>0</v>
      </c>
      <c r="T18" s="13"/>
      <c r="U18" s="14">
        <v>0</v>
      </c>
      <c r="V18" s="14">
        <v>0</v>
      </c>
      <c r="W18" s="14">
        <v>0</v>
      </c>
      <c r="X18" s="14">
        <v>0</v>
      </c>
      <c r="Y18" s="13"/>
      <c r="Z18" s="14">
        <v>0</v>
      </c>
      <c r="AA18" s="14">
        <v>0</v>
      </c>
      <c r="AB18" s="14">
        <v>0</v>
      </c>
      <c r="AC18" s="14">
        <v>0</v>
      </c>
      <c r="AD18" s="13"/>
      <c r="AE18" s="14">
        <v>0</v>
      </c>
      <c r="AF18" s="14">
        <v>0</v>
      </c>
      <c r="AG18" s="14">
        <v>0</v>
      </c>
      <c r="AH18" s="14">
        <v>4173</v>
      </c>
      <c r="AI18" s="13"/>
      <c r="AJ18" s="14">
        <v>0</v>
      </c>
      <c r="AK18" s="14">
        <v>0</v>
      </c>
      <c r="AL18" s="14">
        <v>0</v>
      </c>
      <c r="AM18" s="14">
        <v>0</v>
      </c>
      <c r="AN18" s="13"/>
      <c r="AO18" s="14">
        <v>113</v>
      </c>
      <c r="AP18" s="14">
        <v>113</v>
      </c>
      <c r="AQ18" s="24">
        <v>113</v>
      </c>
      <c r="AR18" s="14">
        <v>26184</v>
      </c>
      <c r="AS18" s="13"/>
      <c r="AT18" s="18">
        <v>6</v>
      </c>
      <c r="AU18" s="14">
        <v>0</v>
      </c>
      <c r="AV18" s="24">
        <v>0</v>
      </c>
      <c r="AW18" s="14">
        <v>91015</v>
      </c>
      <c r="AY18" s="18">
        <v>0</v>
      </c>
      <c r="AZ18" s="14">
        <v>0</v>
      </c>
      <c r="BA18" s="18"/>
      <c r="BB18" s="14"/>
    </row>
    <row r="19" spans="2:54 16384:16384" ht="15" customHeight="1" x14ac:dyDescent="0.25">
      <c r="B19" s="31" t="s">
        <v>46</v>
      </c>
      <c r="C19" s="14">
        <v>1654</v>
      </c>
      <c r="D19" s="14">
        <v>3835</v>
      </c>
      <c r="E19" s="14">
        <v>1587</v>
      </c>
      <c r="F19" s="14">
        <v>865</v>
      </c>
      <c r="G19" s="14">
        <v>507</v>
      </c>
      <c r="H19" s="14">
        <v>972</v>
      </c>
      <c r="I19" s="14">
        <v>1467</v>
      </c>
      <c r="J19" s="13"/>
      <c r="K19" s="14">
        <v>2851</v>
      </c>
      <c r="L19" s="14">
        <v>9766</v>
      </c>
      <c r="M19" s="14">
        <v>4101</v>
      </c>
      <c r="N19" s="14">
        <v>9230</v>
      </c>
      <c r="O19" s="13"/>
      <c r="P19" s="14">
        <v>4667</v>
      </c>
      <c r="Q19" s="14">
        <v>18913</v>
      </c>
      <c r="R19" s="14">
        <v>30027</v>
      </c>
      <c r="S19" s="14">
        <v>14392</v>
      </c>
      <c r="T19" s="13"/>
      <c r="U19" s="14">
        <v>4482</v>
      </c>
      <c r="V19" s="14">
        <v>13975</v>
      </c>
      <c r="W19" s="14">
        <v>8492</v>
      </c>
      <c r="X19" s="14">
        <v>21113</v>
      </c>
      <c r="Y19" s="13"/>
      <c r="Z19" s="14">
        <v>25634</v>
      </c>
      <c r="AA19" s="14">
        <v>23007</v>
      </c>
      <c r="AB19" s="14">
        <v>30571</v>
      </c>
      <c r="AC19" s="14">
        <v>20491</v>
      </c>
      <c r="AD19" s="13"/>
      <c r="AE19" s="14">
        <v>40425</v>
      </c>
      <c r="AF19" s="14">
        <v>41439</v>
      </c>
      <c r="AG19" s="14">
        <v>58729</v>
      </c>
      <c r="AH19" s="14">
        <v>47034</v>
      </c>
      <c r="AI19" s="13"/>
      <c r="AJ19" s="14">
        <v>29195</v>
      </c>
      <c r="AK19" s="14">
        <v>27461</v>
      </c>
      <c r="AL19" s="14">
        <v>31239</v>
      </c>
      <c r="AM19" s="14">
        <v>22079</v>
      </c>
      <c r="AN19" s="13"/>
      <c r="AO19" s="14">
        <v>30066</v>
      </c>
      <c r="AP19" s="14">
        <v>24511</v>
      </c>
      <c r="AQ19" s="24">
        <v>93204</v>
      </c>
      <c r="AR19" s="14">
        <v>97684</v>
      </c>
      <c r="AS19" s="13"/>
      <c r="AT19" s="18">
        <v>78378</v>
      </c>
      <c r="AU19" s="14">
        <v>86701</v>
      </c>
      <c r="AV19" s="24">
        <v>115162</v>
      </c>
      <c r="AW19" s="14">
        <v>138294</v>
      </c>
      <c r="AY19" s="18">
        <v>148622</v>
      </c>
      <c r="AZ19" s="14">
        <v>84844</v>
      </c>
      <c r="BA19" s="24"/>
      <c r="BB19" s="14"/>
    </row>
    <row r="20" spans="2:54 16384:16384" ht="15" customHeight="1" x14ac:dyDescent="0.25">
      <c r="B20" s="2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Y20" s="19"/>
      <c r="AZ20" s="19"/>
      <c r="BA20" s="19"/>
      <c r="BB20" s="19"/>
    </row>
    <row r="21" spans="2:54 16384:16384" ht="15" customHeight="1" x14ac:dyDescent="0.25">
      <c r="B21" s="10" t="s">
        <v>47</v>
      </c>
      <c r="C21" s="32">
        <v>94143</v>
      </c>
      <c r="D21" s="32">
        <v>110258</v>
      </c>
      <c r="E21" s="32">
        <v>140590</v>
      </c>
      <c r="F21" s="32">
        <v>214162</v>
      </c>
      <c r="G21" s="32">
        <v>216305</v>
      </c>
      <c r="H21" s="32">
        <v>93820</v>
      </c>
      <c r="I21" s="32">
        <v>64779</v>
      </c>
      <c r="J21" s="10"/>
      <c r="K21" s="32">
        <v>113231</v>
      </c>
      <c r="L21" s="32">
        <v>112358</v>
      </c>
      <c r="M21" s="32">
        <v>117236</v>
      </c>
      <c r="N21" s="32">
        <v>70046</v>
      </c>
      <c r="O21" s="10"/>
      <c r="P21" s="32">
        <v>61967</v>
      </c>
      <c r="Q21" s="32">
        <v>96414</v>
      </c>
      <c r="R21" s="32">
        <v>106769</v>
      </c>
      <c r="S21" s="32">
        <v>177977</v>
      </c>
      <c r="T21" s="10"/>
      <c r="U21" s="32">
        <v>181272</v>
      </c>
      <c r="V21" s="32">
        <v>174666</v>
      </c>
      <c r="W21" s="32">
        <v>212402</v>
      </c>
      <c r="X21" s="32">
        <v>244205</v>
      </c>
      <c r="Y21" s="10"/>
      <c r="Z21" s="32">
        <v>286347</v>
      </c>
      <c r="AA21" s="32">
        <v>257894</v>
      </c>
      <c r="AB21" s="32">
        <v>243768</v>
      </c>
      <c r="AC21" s="32">
        <v>328086</v>
      </c>
      <c r="AD21" s="10"/>
      <c r="AE21" s="32">
        <v>728334</v>
      </c>
      <c r="AF21" s="32">
        <v>688578</v>
      </c>
      <c r="AG21" s="32">
        <v>605839</v>
      </c>
      <c r="AH21" s="32">
        <v>524248</v>
      </c>
      <c r="AI21" s="10"/>
      <c r="AJ21" s="32">
        <v>630739</v>
      </c>
      <c r="AK21" s="32">
        <v>729338</v>
      </c>
      <c r="AL21" s="32">
        <v>649073</v>
      </c>
      <c r="AM21" s="32">
        <v>747152</v>
      </c>
      <c r="AN21" s="10"/>
      <c r="AO21" s="125">
        <f>SUM(AO22:AO29)</f>
        <v>838478</v>
      </c>
      <c r="AP21" s="125">
        <f>SUM(AP22:AP29)</f>
        <v>1360870</v>
      </c>
      <c r="AQ21" s="125">
        <f>SUM(AQ22:AQ29)</f>
        <v>1221052</v>
      </c>
      <c r="AR21" s="125">
        <f>SUM(AR22:AR29)</f>
        <v>1177361</v>
      </c>
      <c r="AS21" s="10"/>
      <c r="AT21" s="125">
        <f>SUM(AT22:AT29)</f>
        <v>1228894</v>
      </c>
      <c r="AU21" s="125">
        <f>SUM(AU22:AU29)</f>
        <v>2377308</v>
      </c>
      <c r="AV21" s="125">
        <f>SUM(AV22:AV29)</f>
        <v>2227103</v>
      </c>
      <c r="AW21" s="125">
        <f>SUM(AW22:AW29)</f>
        <v>2403728</v>
      </c>
      <c r="AY21" s="125">
        <f>SUM(AY22:AY29)</f>
        <v>2536818</v>
      </c>
      <c r="AZ21" s="125">
        <f>SUM(AZ22:AZ29)</f>
        <v>3005489</v>
      </c>
      <c r="BA21" s="125">
        <f>SUM(BA22:BA29)</f>
        <v>0</v>
      </c>
      <c r="BB21" s="125">
        <f>SUM(BB22:BB29)</f>
        <v>0</v>
      </c>
      <c r="XFD21" s="125"/>
    </row>
    <row r="22" spans="2:54 16384:16384" ht="15" customHeight="1" x14ac:dyDescent="0.25">
      <c r="B22" s="13" t="s">
        <v>39</v>
      </c>
      <c r="C22" s="14">
        <v>14889</v>
      </c>
      <c r="D22" s="14">
        <v>3776</v>
      </c>
      <c r="E22" s="14">
        <v>0</v>
      </c>
      <c r="F22" s="14">
        <v>0</v>
      </c>
      <c r="G22" s="14">
        <v>0</v>
      </c>
      <c r="H22" s="14">
        <v>0</v>
      </c>
      <c r="I22" s="14">
        <v>12970</v>
      </c>
      <c r="J22" s="13"/>
      <c r="K22" s="14">
        <v>12970</v>
      </c>
      <c r="L22" s="14">
        <v>0</v>
      </c>
      <c r="M22" s="14">
        <v>0</v>
      </c>
      <c r="N22" s="14">
        <v>6382</v>
      </c>
      <c r="O22" s="13"/>
      <c r="P22" s="14">
        <v>9320</v>
      </c>
      <c r="Q22" s="14">
        <v>8885</v>
      </c>
      <c r="R22" s="14">
        <v>8885</v>
      </c>
      <c r="S22" s="14">
        <v>0</v>
      </c>
      <c r="T22" s="13"/>
      <c r="U22" s="14">
        <v>0</v>
      </c>
      <c r="V22" s="14">
        <v>0</v>
      </c>
      <c r="W22" s="14">
        <v>0</v>
      </c>
      <c r="X22" s="14">
        <v>0</v>
      </c>
      <c r="Y22" s="13"/>
      <c r="Z22" s="14">
        <v>0</v>
      </c>
      <c r="AA22" s="14">
        <v>0</v>
      </c>
      <c r="AB22" s="14">
        <v>0</v>
      </c>
      <c r="AC22" s="14">
        <v>0</v>
      </c>
      <c r="AD22" s="13"/>
      <c r="AE22" s="14">
        <v>0</v>
      </c>
      <c r="AF22" s="14">
        <v>0</v>
      </c>
      <c r="AG22" s="14">
        <v>0</v>
      </c>
      <c r="AH22" s="14" t="s">
        <v>239</v>
      </c>
      <c r="AI22" s="13"/>
      <c r="AJ22" s="14">
        <v>3238.0122500000002</v>
      </c>
      <c r="AK22" s="14">
        <v>178</v>
      </c>
      <c r="AL22" s="14">
        <v>154</v>
      </c>
      <c r="AM22" s="14">
        <v>137</v>
      </c>
      <c r="AN22" s="13"/>
      <c r="AO22" s="14">
        <v>1175</v>
      </c>
      <c r="AP22" s="14">
        <v>76</v>
      </c>
      <c r="AQ22" s="14">
        <v>222</v>
      </c>
      <c r="AR22" s="18">
        <v>26</v>
      </c>
      <c r="AS22" s="13"/>
      <c r="AT22" s="18">
        <v>0</v>
      </c>
      <c r="AU22" s="14">
        <v>0</v>
      </c>
      <c r="AV22" s="14">
        <v>476</v>
      </c>
      <c r="AW22" s="18">
        <v>37953</v>
      </c>
      <c r="AY22" s="18">
        <v>65639</v>
      </c>
      <c r="AZ22" s="14">
        <v>22</v>
      </c>
      <c r="BA22" s="14"/>
      <c r="BB22" s="18"/>
    </row>
    <row r="23" spans="2:54 16384:16384" ht="15" customHeight="1" x14ac:dyDescent="0.25">
      <c r="B23" s="13" t="s">
        <v>41</v>
      </c>
      <c r="C23" s="14">
        <v>70162</v>
      </c>
      <c r="D23" s="14">
        <v>99892</v>
      </c>
      <c r="E23" s="14">
        <v>94559</v>
      </c>
      <c r="F23" s="14">
        <v>166925</v>
      </c>
      <c r="G23" s="14">
        <v>176809</v>
      </c>
      <c r="H23" s="14">
        <v>91565</v>
      </c>
      <c r="I23" s="14">
        <v>42791</v>
      </c>
      <c r="J23" s="13"/>
      <c r="K23" s="14">
        <v>40793</v>
      </c>
      <c r="L23" s="14">
        <v>52987</v>
      </c>
      <c r="M23" s="14">
        <v>57961</v>
      </c>
      <c r="N23" s="14">
        <v>57048</v>
      </c>
      <c r="O23" s="13"/>
      <c r="P23" s="14">
        <v>46461</v>
      </c>
      <c r="Q23" s="14">
        <v>74276</v>
      </c>
      <c r="R23" s="14">
        <v>87045</v>
      </c>
      <c r="S23" s="14">
        <v>169778</v>
      </c>
      <c r="T23" s="13"/>
      <c r="U23" s="14">
        <v>172482</v>
      </c>
      <c r="V23" s="14">
        <v>164881</v>
      </c>
      <c r="W23" s="14">
        <v>191967</v>
      </c>
      <c r="X23" s="14">
        <v>235400</v>
      </c>
      <c r="Y23" s="13"/>
      <c r="Z23" s="14">
        <v>274456</v>
      </c>
      <c r="AA23" s="14">
        <v>237644</v>
      </c>
      <c r="AB23" s="14">
        <v>229325</v>
      </c>
      <c r="AC23" s="14">
        <v>310834</v>
      </c>
      <c r="AD23" s="13"/>
      <c r="AE23" s="14">
        <v>708646</v>
      </c>
      <c r="AF23" s="14">
        <v>667683</v>
      </c>
      <c r="AG23" s="14">
        <v>585863</v>
      </c>
      <c r="AH23" s="14">
        <v>496926</v>
      </c>
      <c r="AI23" s="13"/>
      <c r="AJ23" s="14">
        <v>590503.71945000009</v>
      </c>
      <c r="AK23" s="14">
        <v>690043</v>
      </c>
      <c r="AL23" s="14">
        <v>610594</v>
      </c>
      <c r="AM23" s="14">
        <v>710383</v>
      </c>
      <c r="AN23" s="13"/>
      <c r="AO23" s="14">
        <v>800629</v>
      </c>
      <c r="AP23" s="14">
        <v>1322890</v>
      </c>
      <c r="AQ23" s="14">
        <v>1184777</v>
      </c>
      <c r="AR23" s="126">
        <v>1145811</v>
      </c>
      <c r="AS23" s="13"/>
      <c r="AT23" s="18">
        <v>1199140</v>
      </c>
      <c r="AU23" s="14">
        <v>2345835</v>
      </c>
      <c r="AV23" s="14">
        <v>2172510</v>
      </c>
      <c r="AW23" s="126">
        <v>2316623</v>
      </c>
      <c r="AY23" s="18">
        <v>2426768</v>
      </c>
      <c r="AZ23" s="14">
        <v>2958338</v>
      </c>
      <c r="BA23" s="14"/>
      <c r="BB23" s="126"/>
    </row>
    <row r="24" spans="2:54 16384:16384" ht="15" customHeight="1" x14ac:dyDescent="0.25">
      <c r="B24" s="16" t="s">
        <v>297</v>
      </c>
      <c r="C24" s="14">
        <v>6154</v>
      </c>
      <c r="D24" s="14">
        <v>5872</v>
      </c>
      <c r="E24" s="14">
        <v>4831</v>
      </c>
      <c r="F24" s="14">
        <v>5306</v>
      </c>
      <c r="G24" s="14">
        <v>0</v>
      </c>
      <c r="H24" s="14">
        <v>0</v>
      </c>
      <c r="I24" s="14">
        <v>2341</v>
      </c>
      <c r="J24" s="13"/>
      <c r="K24" s="14">
        <v>1573</v>
      </c>
      <c r="L24" s="14">
        <v>1573</v>
      </c>
      <c r="M24" s="14">
        <v>1573</v>
      </c>
      <c r="N24" s="14">
        <v>775</v>
      </c>
      <c r="O24" s="13"/>
      <c r="P24" s="14">
        <v>442</v>
      </c>
      <c r="Q24" s="14">
        <v>7605</v>
      </c>
      <c r="R24" s="14">
        <v>5288</v>
      </c>
      <c r="S24" s="14">
        <v>2022</v>
      </c>
      <c r="T24" s="13"/>
      <c r="U24" s="14">
        <v>3327</v>
      </c>
      <c r="V24" s="14">
        <v>4390</v>
      </c>
      <c r="W24" s="14">
        <v>15136</v>
      </c>
      <c r="X24" s="14">
        <v>145</v>
      </c>
      <c r="Y24" s="13"/>
      <c r="Z24" s="14">
        <v>0</v>
      </c>
      <c r="AA24" s="14">
        <v>3040</v>
      </c>
      <c r="AB24" s="14">
        <v>0</v>
      </c>
      <c r="AC24" s="14">
        <v>0</v>
      </c>
      <c r="AD24" s="13"/>
      <c r="AE24" s="14">
        <v>0</v>
      </c>
      <c r="AF24" s="14">
        <v>0</v>
      </c>
      <c r="AG24" s="14"/>
      <c r="AH24" s="14" t="s">
        <v>239</v>
      </c>
      <c r="AI24" s="13"/>
      <c r="AJ24" s="14">
        <v>0</v>
      </c>
      <c r="AK24" s="14">
        <v>0</v>
      </c>
      <c r="AL24" s="14">
        <v>0</v>
      </c>
      <c r="AM24" s="14">
        <v>0</v>
      </c>
      <c r="AN24" s="13"/>
      <c r="AO24" s="14">
        <v>0</v>
      </c>
      <c r="AP24" s="14">
        <v>0</v>
      </c>
      <c r="AQ24" s="14">
        <v>0</v>
      </c>
      <c r="AR24" s="18">
        <v>0</v>
      </c>
      <c r="AS24" s="13"/>
      <c r="AT24" s="18">
        <v>0</v>
      </c>
      <c r="AU24" s="14">
        <v>2664</v>
      </c>
      <c r="AV24" s="14">
        <v>13631</v>
      </c>
      <c r="AW24" s="18">
        <v>0</v>
      </c>
      <c r="AY24" s="18">
        <v>0</v>
      </c>
      <c r="AZ24" s="14">
        <v>0</v>
      </c>
      <c r="BA24" s="14"/>
      <c r="BB24" s="18"/>
    </row>
    <row r="25" spans="2:54 16384:16384" ht="15" customHeight="1" x14ac:dyDescent="0.25">
      <c r="B25" s="16" t="s">
        <v>331</v>
      </c>
      <c r="C25" s="14">
        <v>0</v>
      </c>
      <c r="D25" s="14">
        <v>290</v>
      </c>
      <c r="E25" s="14">
        <v>85</v>
      </c>
      <c r="F25" s="14">
        <v>822</v>
      </c>
      <c r="G25" s="14">
        <v>732</v>
      </c>
      <c r="H25" s="14">
        <v>1029</v>
      </c>
      <c r="I25" s="14">
        <v>1556</v>
      </c>
      <c r="J25" s="13"/>
      <c r="K25" s="14">
        <v>1556</v>
      </c>
      <c r="L25" s="14">
        <v>1556</v>
      </c>
      <c r="M25" s="14">
        <v>1556</v>
      </c>
      <c r="N25" s="14">
        <v>1556</v>
      </c>
      <c r="O25" s="13"/>
      <c r="P25" s="14">
        <v>1556</v>
      </c>
      <c r="Q25" s="14">
        <v>1556</v>
      </c>
      <c r="R25" s="14">
        <v>1556</v>
      </c>
      <c r="S25" s="14">
        <v>1584</v>
      </c>
      <c r="T25" s="13"/>
      <c r="U25" s="14">
        <v>1584</v>
      </c>
      <c r="V25" s="14">
        <v>1584</v>
      </c>
      <c r="W25" s="14">
        <v>1584</v>
      </c>
      <c r="X25" s="14">
        <v>1568</v>
      </c>
      <c r="Y25" s="13"/>
      <c r="Z25" s="14">
        <v>4038</v>
      </c>
      <c r="AA25" s="14">
        <v>2669</v>
      </c>
      <c r="AB25" s="14">
        <v>2496</v>
      </c>
      <c r="AC25" s="14">
        <v>2307</v>
      </c>
      <c r="AD25" s="13"/>
      <c r="AE25" s="14">
        <v>2284</v>
      </c>
      <c r="AF25" s="14">
        <v>4528</v>
      </c>
      <c r="AG25" s="14">
        <v>4636</v>
      </c>
      <c r="AH25" s="14">
        <v>6336</v>
      </c>
      <c r="AI25" s="13"/>
      <c r="AJ25" s="14">
        <v>6404.2749100000001</v>
      </c>
      <c r="AK25" s="14">
        <v>10229</v>
      </c>
      <c r="AL25" s="14">
        <v>11872</v>
      </c>
      <c r="AM25" s="14">
        <v>11550</v>
      </c>
      <c r="AN25" s="13"/>
      <c r="AO25" s="14">
        <v>13723</v>
      </c>
      <c r="AP25" s="14">
        <v>14421</v>
      </c>
      <c r="AQ25" s="14">
        <v>14993</v>
      </c>
      <c r="AR25" s="18">
        <v>6664</v>
      </c>
      <c r="AS25" s="13"/>
      <c r="AT25" s="18">
        <v>5282</v>
      </c>
      <c r="AU25" s="14">
        <v>4481</v>
      </c>
      <c r="AV25" s="14">
        <v>4028</v>
      </c>
      <c r="AW25" s="18">
        <v>5237</v>
      </c>
      <c r="AY25" s="18">
        <v>4175</v>
      </c>
      <c r="AZ25" s="14">
        <v>3828</v>
      </c>
      <c r="BA25" s="14"/>
      <c r="BB25" s="18"/>
    </row>
    <row r="26" spans="2:54 16384:16384" ht="15" customHeight="1" x14ac:dyDescent="0.25">
      <c r="B26" s="31" t="s">
        <v>317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3"/>
      <c r="K26" s="14">
        <v>0</v>
      </c>
      <c r="L26" s="14">
        <v>0</v>
      </c>
      <c r="M26" s="14">
        <v>0</v>
      </c>
      <c r="N26" s="14">
        <v>0</v>
      </c>
      <c r="O26" s="13"/>
      <c r="P26" s="14">
        <v>0</v>
      </c>
      <c r="Q26" s="14">
        <v>0</v>
      </c>
      <c r="R26" s="14">
        <v>0</v>
      </c>
      <c r="S26" s="14">
        <v>1019</v>
      </c>
      <c r="T26" s="13"/>
      <c r="U26" s="14">
        <v>401</v>
      </c>
      <c r="V26" s="14">
        <v>364</v>
      </c>
      <c r="W26" s="14">
        <v>364</v>
      </c>
      <c r="X26" s="14">
        <v>307</v>
      </c>
      <c r="Y26" s="13"/>
      <c r="Z26" s="14">
        <v>1410</v>
      </c>
      <c r="AA26" s="14">
        <v>6404</v>
      </c>
      <c r="AB26" s="14">
        <v>6399</v>
      </c>
      <c r="AC26" s="14">
        <v>9669</v>
      </c>
      <c r="AD26" s="13"/>
      <c r="AE26" s="14">
        <v>12251</v>
      </c>
      <c r="AF26" s="14">
        <v>11667</v>
      </c>
      <c r="AG26" s="14">
        <v>10931</v>
      </c>
      <c r="AH26" s="14">
        <v>16881</v>
      </c>
      <c r="AI26" s="13"/>
      <c r="AJ26" s="14">
        <v>15716.880279999999</v>
      </c>
      <c r="AK26" s="14">
        <v>15077</v>
      </c>
      <c r="AL26" s="14">
        <v>13718</v>
      </c>
      <c r="AM26" s="14">
        <v>13191</v>
      </c>
      <c r="AN26" s="13"/>
      <c r="AO26" s="14">
        <v>12407</v>
      </c>
      <c r="AP26" s="14">
        <v>14051</v>
      </c>
      <c r="AQ26" s="14">
        <v>12715</v>
      </c>
      <c r="AR26" s="18">
        <v>15843</v>
      </c>
      <c r="AS26" s="13"/>
      <c r="AT26" s="18">
        <v>16544</v>
      </c>
      <c r="AU26" s="14">
        <v>15886</v>
      </c>
      <c r="AV26" s="14">
        <v>28498</v>
      </c>
      <c r="AW26" s="18">
        <v>37412</v>
      </c>
      <c r="AY26" s="18">
        <v>36932</v>
      </c>
      <c r="AZ26" s="14">
        <v>40833</v>
      </c>
      <c r="BA26" s="14"/>
      <c r="BB26" s="18"/>
    </row>
    <row r="27" spans="2:54 16384:16384" ht="15" customHeight="1" x14ac:dyDescent="0.25">
      <c r="B27" s="16" t="s">
        <v>123</v>
      </c>
      <c r="C27" s="14">
        <v>0</v>
      </c>
      <c r="D27" s="14">
        <v>0</v>
      </c>
      <c r="E27" s="14">
        <v>40749</v>
      </c>
      <c r="F27" s="14">
        <v>41109</v>
      </c>
      <c r="G27" s="14">
        <v>35841</v>
      </c>
      <c r="H27" s="14">
        <v>0</v>
      </c>
      <c r="I27" s="14">
        <v>0</v>
      </c>
      <c r="J27" s="13"/>
      <c r="K27" s="14">
        <v>51314</v>
      </c>
      <c r="L27" s="14">
        <v>51313</v>
      </c>
      <c r="M27" s="14">
        <v>51312</v>
      </c>
      <c r="N27" s="14">
        <v>0</v>
      </c>
      <c r="O27" s="13"/>
      <c r="P27" s="14">
        <v>0</v>
      </c>
      <c r="Q27" s="14">
        <v>0</v>
      </c>
      <c r="R27" s="14">
        <v>0</v>
      </c>
      <c r="S27" s="14">
        <v>0</v>
      </c>
      <c r="T27" s="13"/>
      <c r="U27" s="14">
        <v>0</v>
      </c>
      <c r="V27" s="14">
        <v>0</v>
      </c>
      <c r="W27" s="14">
        <v>0</v>
      </c>
      <c r="X27" s="14">
        <v>0</v>
      </c>
      <c r="Y27" s="13"/>
      <c r="Z27" s="14">
        <v>0</v>
      </c>
      <c r="AA27" s="14">
        <v>2265</v>
      </c>
      <c r="AB27" s="14">
        <v>0</v>
      </c>
      <c r="AC27" s="14">
        <v>0</v>
      </c>
      <c r="AD27" s="13"/>
      <c r="AE27" s="14">
        <v>165</v>
      </c>
      <c r="AF27" s="14">
        <v>0</v>
      </c>
      <c r="AG27" s="14">
        <v>0</v>
      </c>
      <c r="AH27" s="14">
        <v>0</v>
      </c>
      <c r="AI27" s="13"/>
      <c r="AJ27" s="14">
        <v>0</v>
      </c>
      <c r="AK27" s="14">
        <v>0</v>
      </c>
      <c r="AL27" s="14">
        <v>0</v>
      </c>
      <c r="AM27" s="14">
        <v>0</v>
      </c>
      <c r="AN27" s="13"/>
      <c r="AO27" s="14">
        <v>0</v>
      </c>
      <c r="AP27" s="14">
        <v>0</v>
      </c>
      <c r="AQ27" s="14">
        <v>0</v>
      </c>
      <c r="AR27" s="18">
        <v>1539</v>
      </c>
      <c r="AS27" s="13"/>
      <c r="AT27" s="18">
        <v>1284</v>
      </c>
      <c r="AU27" s="14">
        <v>2633</v>
      </c>
      <c r="AV27" s="14">
        <v>2986</v>
      </c>
      <c r="AW27" s="18">
        <v>2364</v>
      </c>
      <c r="AY27" s="18">
        <v>0</v>
      </c>
      <c r="AZ27" s="14">
        <v>0</v>
      </c>
      <c r="BA27" s="14"/>
      <c r="BB27" s="18"/>
    </row>
    <row r="28" spans="2:54 16384:16384" ht="15" customHeight="1" x14ac:dyDescent="0.25">
      <c r="B28" s="31" t="s">
        <v>308</v>
      </c>
      <c r="C28" s="14">
        <v>199</v>
      </c>
      <c r="D28" s="14">
        <v>428</v>
      </c>
      <c r="E28" s="14">
        <v>366</v>
      </c>
      <c r="F28" s="14">
        <v>0</v>
      </c>
      <c r="G28" s="14">
        <v>2923</v>
      </c>
      <c r="H28" s="14">
        <v>1226</v>
      </c>
      <c r="I28" s="14">
        <v>5121</v>
      </c>
      <c r="J28" s="13"/>
      <c r="K28" s="14">
        <v>5025</v>
      </c>
      <c r="L28" s="14">
        <v>4929</v>
      </c>
      <c r="M28" s="14">
        <v>4834</v>
      </c>
      <c r="N28" s="14">
        <v>4285</v>
      </c>
      <c r="O28" s="13"/>
      <c r="P28" s="14">
        <v>4188</v>
      </c>
      <c r="Q28" s="14">
        <v>4092</v>
      </c>
      <c r="R28" s="14">
        <v>3995</v>
      </c>
      <c r="S28" s="14">
        <v>3574</v>
      </c>
      <c r="T28" s="13"/>
      <c r="U28" s="14">
        <v>3478</v>
      </c>
      <c r="V28" s="14">
        <v>3447</v>
      </c>
      <c r="W28" s="14">
        <v>3351</v>
      </c>
      <c r="X28" s="14">
        <v>6785</v>
      </c>
      <c r="Y28" s="13"/>
      <c r="Z28" s="14">
        <v>6443</v>
      </c>
      <c r="AA28" s="14">
        <v>5872</v>
      </c>
      <c r="AB28" s="14">
        <v>5548</v>
      </c>
      <c r="AC28" s="14">
        <v>5276</v>
      </c>
      <c r="AD28" s="13"/>
      <c r="AE28" s="14">
        <v>4988</v>
      </c>
      <c r="AF28" s="14">
        <v>4700</v>
      </c>
      <c r="AG28" s="14">
        <v>4409</v>
      </c>
      <c r="AH28" s="14">
        <v>4105</v>
      </c>
      <c r="AI28" s="13"/>
      <c r="AJ28" s="14">
        <v>3789.8683099999994</v>
      </c>
      <c r="AK28" s="14">
        <v>3464</v>
      </c>
      <c r="AL28" s="14">
        <v>3127</v>
      </c>
      <c r="AM28" s="14">
        <v>2776</v>
      </c>
      <c r="AN28" s="13"/>
      <c r="AO28" s="14">
        <v>2414</v>
      </c>
      <c r="AP28" s="14">
        <v>2042</v>
      </c>
      <c r="AQ28" s="14">
        <v>1693</v>
      </c>
      <c r="AR28" s="18">
        <v>1565</v>
      </c>
      <c r="AS28" s="13"/>
      <c r="AT28" s="18">
        <v>1470</v>
      </c>
      <c r="AU28" s="14">
        <v>1374</v>
      </c>
      <c r="AV28" s="14">
        <v>1278</v>
      </c>
      <c r="AW28" s="18">
        <v>1182</v>
      </c>
      <c r="AY28" s="18">
        <v>1086</v>
      </c>
      <c r="AZ28" s="14">
        <v>990</v>
      </c>
      <c r="BA28" s="14"/>
      <c r="BB28" s="18"/>
    </row>
    <row r="29" spans="2:54 16384:16384" ht="15" customHeight="1" x14ac:dyDescent="0.25">
      <c r="B29" s="31" t="s">
        <v>307</v>
      </c>
      <c r="C29" s="14">
        <v>2739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3"/>
      <c r="K29" s="14">
        <v>0</v>
      </c>
      <c r="L29" s="14">
        <v>0</v>
      </c>
      <c r="M29" s="14">
        <v>0</v>
      </c>
      <c r="N29" s="14">
        <v>0</v>
      </c>
      <c r="O29" s="13"/>
      <c r="P29" s="14">
        <v>0</v>
      </c>
      <c r="Q29" s="14">
        <v>0</v>
      </c>
      <c r="R29" s="14">
        <v>0</v>
      </c>
      <c r="S29" s="14">
        <v>0</v>
      </c>
      <c r="T29" s="13"/>
      <c r="U29" s="14">
        <v>0</v>
      </c>
      <c r="V29" s="14">
        <v>0</v>
      </c>
      <c r="W29" s="14">
        <v>0</v>
      </c>
      <c r="X29" s="14">
        <v>0</v>
      </c>
      <c r="Y29" s="13"/>
      <c r="Z29" s="14">
        <v>0</v>
      </c>
      <c r="AA29" s="14">
        <v>0</v>
      </c>
      <c r="AB29" s="14">
        <v>0</v>
      </c>
      <c r="AC29" s="14">
        <v>0</v>
      </c>
      <c r="AD29" s="13"/>
      <c r="AE29" s="14">
        <v>0</v>
      </c>
      <c r="AF29" s="14">
        <v>0</v>
      </c>
      <c r="AG29" s="14">
        <v>0</v>
      </c>
      <c r="AH29" s="14">
        <v>0</v>
      </c>
      <c r="AI29" s="13"/>
      <c r="AJ29" s="14">
        <v>11086.237349999999</v>
      </c>
      <c r="AK29" s="14">
        <v>10347</v>
      </c>
      <c r="AL29" s="14">
        <v>9608</v>
      </c>
      <c r="AM29" s="14">
        <v>9115</v>
      </c>
      <c r="AN29" s="13"/>
      <c r="AO29" s="14">
        <v>8130</v>
      </c>
      <c r="AP29" s="14">
        <v>7390</v>
      </c>
      <c r="AQ29" s="14">
        <v>6652</v>
      </c>
      <c r="AR29" s="18">
        <v>5913</v>
      </c>
      <c r="AS29" s="13"/>
      <c r="AT29" s="18">
        <v>5174</v>
      </c>
      <c r="AU29" s="14">
        <v>4435</v>
      </c>
      <c r="AV29" s="14">
        <v>3696</v>
      </c>
      <c r="AW29" s="18">
        <v>2957</v>
      </c>
      <c r="AY29" s="18">
        <v>2218</v>
      </c>
      <c r="AZ29" s="14">
        <v>1478</v>
      </c>
      <c r="BA29" s="14"/>
      <c r="BB29" s="18"/>
    </row>
    <row r="30" spans="2:54 16384:16384" ht="15" customHeight="1" x14ac:dyDescent="0.25">
      <c r="B30" s="29"/>
      <c r="J30" s="29"/>
      <c r="O30" s="29"/>
      <c r="T30" s="29"/>
      <c r="Y30" s="29"/>
      <c r="AA30" s="29"/>
      <c r="AB30" s="29"/>
      <c r="AC30" s="29"/>
      <c r="AD30" s="29"/>
      <c r="AI30" s="29"/>
      <c r="AN30" s="29"/>
      <c r="AS30" s="29"/>
    </row>
    <row r="31" spans="2:54 16384:16384" ht="15" customHeight="1" x14ac:dyDescent="0.25">
      <c r="B31" s="10" t="s">
        <v>48</v>
      </c>
      <c r="C31" s="11">
        <v>58604</v>
      </c>
      <c r="D31" s="11">
        <v>73550</v>
      </c>
      <c r="E31" s="11">
        <v>85628</v>
      </c>
      <c r="F31" s="11">
        <v>82165</v>
      </c>
      <c r="G31" s="11">
        <v>63757</v>
      </c>
      <c r="H31" s="11">
        <v>117589</v>
      </c>
      <c r="I31" s="11">
        <v>183865</v>
      </c>
      <c r="J31" s="10"/>
      <c r="K31" s="11">
        <v>190004</v>
      </c>
      <c r="L31" s="11">
        <v>217801</v>
      </c>
      <c r="M31" s="11">
        <v>237988</v>
      </c>
      <c r="N31" s="11">
        <v>327937</v>
      </c>
      <c r="O31" s="10"/>
      <c r="P31" s="11">
        <v>283776</v>
      </c>
      <c r="Q31" s="11">
        <v>298789</v>
      </c>
      <c r="R31" s="11">
        <v>329214</v>
      </c>
      <c r="S31" s="11">
        <v>445826</v>
      </c>
      <c r="T31" s="10"/>
      <c r="U31" s="11">
        <v>446523</v>
      </c>
      <c r="V31" s="11">
        <v>477927</v>
      </c>
      <c r="W31" s="11">
        <v>598661</v>
      </c>
      <c r="X31" s="11">
        <v>712132</v>
      </c>
      <c r="Y31" s="10"/>
      <c r="Z31" s="11">
        <v>752702</v>
      </c>
      <c r="AA31" s="11">
        <v>857050</v>
      </c>
      <c r="AB31" s="11">
        <v>2065191</v>
      </c>
      <c r="AC31" s="11">
        <v>2236240</v>
      </c>
      <c r="AD31" s="10"/>
      <c r="AE31" s="11">
        <v>2303454.0000100001</v>
      </c>
      <c r="AF31" s="11">
        <v>2420121.0454299999</v>
      </c>
      <c r="AG31" s="11">
        <v>2593093</v>
      </c>
      <c r="AH31" s="11">
        <v>2818555</v>
      </c>
      <c r="AI31" s="10"/>
      <c r="AJ31" s="11">
        <v>2875775.2181899999</v>
      </c>
      <c r="AK31" s="11">
        <v>2954920</v>
      </c>
      <c r="AL31" s="11">
        <v>3174207</v>
      </c>
      <c r="AM31" s="11">
        <v>3351891</v>
      </c>
      <c r="AN31" s="10"/>
      <c r="AO31" s="127">
        <f>SUM(AO32:AO44)</f>
        <v>3439745</v>
      </c>
      <c r="AP31" s="127">
        <f>SUM(AP32:AP44)</f>
        <v>3600325</v>
      </c>
      <c r="AQ31" s="127">
        <f>SUM(AQ32:AQ44)</f>
        <v>3926334</v>
      </c>
      <c r="AR31" s="127">
        <f>SUM(AR32:AR43)</f>
        <v>4045718</v>
      </c>
      <c r="AS31" s="10"/>
      <c r="AT31" s="127">
        <f>SUM(AT32:AT43)</f>
        <v>4162439</v>
      </c>
      <c r="AU31" s="127">
        <f>SUM(AU32:AU43)</f>
        <v>4494294</v>
      </c>
      <c r="AV31" s="127">
        <f>SUM(AV32:AV43)</f>
        <v>4703071</v>
      </c>
      <c r="AW31" s="127">
        <f>SUM(AW32:AW43)</f>
        <v>4699914</v>
      </c>
      <c r="AY31" s="127">
        <f>SUM(AY32:AY43)</f>
        <v>4780614</v>
      </c>
      <c r="AZ31" s="127">
        <f>SUM(AZ32:AZ43)</f>
        <v>5006693</v>
      </c>
      <c r="BA31" s="127">
        <f>SUM(BA32:BA43)</f>
        <v>0</v>
      </c>
      <c r="BB31" s="127">
        <f>SUM(BB32:BB43)</f>
        <v>0</v>
      </c>
    </row>
    <row r="32" spans="2:54 16384:16384" ht="15" customHeight="1" x14ac:dyDescent="0.25">
      <c r="B32" s="13" t="s">
        <v>49</v>
      </c>
      <c r="C32" s="14">
        <v>20000</v>
      </c>
      <c r="D32" s="14">
        <v>20000</v>
      </c>
      <c r="E32" s="14">
        <v>20000</v>
      </c>
      <c r="F32" s="14">
        <v>50000</v>
      </c>
      <c r="G32" s="14">
        <v>51500</v>
      </c>
      <c r="H32" s="14">
        <v>53500</v>
      </c>
      <c r="I32" s="14">
        <v>55500</v>
      </c>
      <c r="J32" s="13"/>
      <c r="K32" s="14">
        <v>55600</v>
      </c>
      <c r="L32" s="14">
        <v>55600</v>
      </c>
      <c r="M32" s="14">
        <v>55600</v>
      </c>
      <c r="N32" s="14">
        <v>55600</v>
      </c>
      <c r="O32" s="13"/>
      <c r="P32" s="14">
        <v>56500</v>
      </c>
      <c r="Q32" s="14">
        <v>101000</v>
      </c>
      <c r="R32" s="14">
        <v>101000</v>
      </c>
      <c r="S32" s="14">
        <v>201000</v>
      </c>
      <c r="T32" s="13"/>
      <c r="U32" s="14">
        <v>201000</v>
      </c>
      <c r="V32" s="14">
        <v>201000</v>
      </c>
      <c r="W32" s="14">
        <v>201000</v>
      </c>
      <c r="X32" s="14">
        <v>400000</v>
      </c>
      <c r="Y32" s="13"/>
      <c r="Z32" s="14">
        <v>400000</v>
      </c>
      <c r="AA32" s="14">
        <v>400000</v>
      </c>
      <c r="AB32" s="14">
        <v>1506212</v>
      </c>
      <c r="AC32" s="14">
        <v>1506212</v>
      </c>
      <c r="AD32" s="13"/>
      <c r="AE32" s="14">
        <v>1513903</v>
      </c>
      <c r="AF32" s="14">
        <v>1513904</v>
      </c>
      <c r="AG32" s="14">
        <v>1514652</v>
      </c>
      <c r="AH32" s="14">
        <v>1515504</v>
      </c>
      <c r="AI32" s="13"/>
      <c r="AJ32" s="14">
        <v>1520811</v>
      </c>
      <c r="AK32" s="14">
        <v>1518662</v>
      </c>
      <c r="AL32" s="14">
        <v>1518662</v>
      </c>
      <c r="AM32" s="14">
        <v>1518662</v>
      </c>
      <c r="AN32" s="13"/>
      <c r="AO32" s="14">
        <v>1518662</v>
      </c>
      <c r="AP32" s="14">
        <v>1518662</v>
      </c>
      <c r="AQ32" s="14">
        <v>1518662</v>
      </c>
      <c r="AR32" s="18">
        <v>1565587</v>
      </c>
      <c r="AS32" s="13"/>
      <c r="AT32" s="18">
        <v>1518662</v>
      </c>
      <c r="AU32" s="14">
        <v>1521350</v>
      </c>
      <c r="AV32" s="147">
        <v>1521350</v>
      </c>
      <c r="AW32" s="14">
        <v>3478385</v>
      </c>
      <c r="AY32" s="18">
        <v>3481513</v>
      </c>
      <c r="AZ32" s="14">
        <v>3481513</v>
      </c>
      <c r="BA32" s="147"/>
      <c r="BB32" s="14"/>
    </row>
    <row r="33" spans="2:54 16384:16384" ht="15" customHeight="1" x14ac:dyDescent="0.25">
      <c r="B33" s="13" t="s">
        <v>50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3"/>
      <c r="K33" s="14">
        <v>0</v>
      </c>
      <c r="L33" s="14">
        <v>0</v>
      </c>
      <c r="M33" s="14">
        <v>0</v>
      </c>
      <c r="N33" s="14">
        <v>0</v>
      </c>
      <c r="O33" s="13"/>
      <c r="P33" s="14">
        <v>0</v>
      </c>
      <c r="Q33" s="14">
        <v>0</v>
      </c>
      <c r="R33" s="14">
        <v>0</v>
      </c>
      <c r="S33" s="14">
        <v>0</v>
      </c>
      <c r="T33" s="13"/>
      <c r="U33" s="14">
        <v>0</v>
      </c>
      <c r="V33" s="14">
        <v>0</v>
      </c>
      <c r="W33" s="14">
        <v>0</v>
      </c>
      <c r="X33" s="14">
        <v>0</v>
      </c>
      <c r="Y33" s="13"/>
      <c r="Z33" s="14">
        <v>0</v>
      </c>
      <c r="AA33" s="14">
        <v>0</v>
      </c>
      <c r="AB33" s="14">
        <v>0</v>
      </c>
      <c r="AC33" s="14">
        <v>0</v>
      </c>
      <c r="AD33" s="13"/>
      <c r="AE33" s="14">
        <v>0</v>
      </c>
      <c r="AF33" s="14">
        <v>0</v>
      </c>
      <c r="AG33" s="14">
        <v>0</v>
      </c>
      <c r="AH33" s="14">
        <v>0</v>
      </c>
      <c r="AI33" s="13"/>
      <c r="AJ33" s="14">
        <v>0</v>
      </c>
      <c r="AK33" s="14">
        <v>0</v>
      </c>
      <c r="AL33" s="14">
        <v>0</v>
      </c>
      <c r="AM33" s="14">
        <v>0</v>
      </c>
      <c r="AN33" s="13"/>
      <c r="AO33" s="14">
        <v>0</v>
      </c>
      <c r="AP33" s="14">
        <v>0</v>
      </c>
      <c r="AQ33" s="14">
        <v>0</v>
      </c>
      <c r="AR33" s="18">
        <v>0</v>
      </c>
      <c r="AS33" s="13"/>
      <c r="AT33" s="18">
        <v>0</v>
      </c>
      <c r="AU33" s="14">
        <v>0</v>
      </c>
      <c r="AV33" s="18">
        <v>0</v>
      </c>
      <c r="AW33" s="18">
        <v>0</v>
      </c>
      <c r="AY33" s="18">
        <v>0</v>
      </c>
      <c r="AZ33" s="14">
        <v>0</v>
      </c>
      <c r="BA33" s="18"/>
      <c r="BB33" s="18"/>
    </row>
    <row r="34" spans="2:54 16384:16384" ht="15" customHeight="1" x14ac:dyDescent="0.25">
      <c r="B34" s="13" t="s">
        <v>51</v>
      </c>
      <c r="C34" s="14">
        <v>24936</v>
      </c>
      <c r="D34" s="14">
        <v>24386</v>
      </c>
      <c r="E34" s="14">
        <v>23480</v>
      </c>
      <c r="F34" s="14">
        <v>-4266</v>
      </c>
      <c r="G34" s="14">
        <v>-33236</v>
      </c>
      <c r="H34" s="14">
        <v>-7160</v>
      </c>
      <c r="I34" s="14">
        <v>7689</v>
      </c>
      <c r="J34" s="13"/>
      <c r="K34" s="14">
        <v>7689</v>
      </c>
      <c r="L34" s="14">
        <v>7689</v>
      </c>
      <c r="M34" s="14">
        <v>7689</v>
      </c>
      <c r="N34" s="14">
        <v>6742</v>
      </c>
      <c r="O34" s="13"/>
      <c r="P34" s="14">
        <v>6742</v>
      </c>
      <c r="Q34" s="14">
        <v>6742</v>
      </c>
      <c r="R34" s="14">
        <v>6742</v>
      </c>
      <c r="S34" s="14">
        <v>5794</v>
      </c>
      <c r="T34" s="13"/>
      <c r="U34" s="14">
        <v>5794</v>
      </c>
      <c r="V34" s="14">
        <v>5321</v>
      </c>
      <c r="W34" s="14">
        <v>5084</v>
      </c>
      <c r="X34" s="14">
        <v>4847</v>
      </c>
      <c r="Y34" s="13"/>
      <c r="Z34" s="14">
        <v>4610</v>
      </c>
      <c r="AA34" s="14">
        <v>4373</v>
      </c>
      <c r="AB34" s="14">
        <v>4136</v>
      </c>
      <c r="AC34" s="14">
        <v>3900</v>
      </c>
      <c r="AD34" s="13"/>
      <c r="AE34" s="14">
        <v>3663</v>
      </c>
      <c r="AF34" s="14">
        <v>3426</v>
      </c>
      <c r="AG34" s="14">
        <v>3189</v>
      </c>
      <c r="AH34" s="14">
        <v>2952</v>
      </c>
      <c r="AI34" s="13"/>
      <c r="AJ34" s="14">
        <v>2715.3529900000003</v>
      </c>
      <c r="AK34" s="14">
        <v>2479</v>
      </c>
      <c r="AL34" s="14">
        <v>2241</v>
      </c>
      <c r="AM34" s="14">
        <v>2005</v>
      </c>
      <c r="AN34" s="13"/>
      <c r="AO34" s="14">
        <v>1768</v>
      </c>
      <c r="AP34" s="14">
        <v>1532</v>
      </c>
      <c r="AQ34" s="14">
        <v>1294</v>
      </c>
      <c r="AR34" s="18">
        <v>1058</v>
      </c>
      <c r="AS34" s="13"/>
      <c r="AT34" s="18">
        <v>821</v>
      </c>
      <c r="AU34" s="14">
        <v>583</v>
      </c>
      <c r="AV34" s="147">
        <v>347</v>
      </c>
      <c r="AW34" s="14">
        <v>111</v>
      </c>
      <c r="AY34" s="18">
        <v>0</v>
      </c>
      <c r="AZ34" s="14">
        <v>0</v>
      </c>
      <c r="BA34" s="147"/>
      <c r="BB34" s="14"/>
    </row>
    <row r="35" spans="2:54 16384:16384" ht="15" customHeight="1" x14ac:dyDescent="0.25">
      <c r="B35" s="16" t="s">
        <v>309</v>
      </c>
      <c r="C35" s="14"/>
      <c r="D35" s="14"/>
      <c r="E35" s="14"/>
      <c r="F35" s="14"/>
      <c r="G35" s="14"/>
      <c r="H35" s="14"/>
      <c r="I35" s="14"/>
      <c r="J35" s="13"/>
      <c r="K35" s="14"/>
      <c r="L35" s="14"/>
      <c r="M35" s="14"/>
      <c r="N35" s="14"/>
      <c r="O35" s="13"/>
      <c r="P35" s="14"/>
      <c r="Q35" s="14"/>
      <c r="R35" s="14"/>
      <c r="S35" s="14"/>
      <c r="T35" s="13"/>
      <c r="U35" s="14"/>
      <c r="V35" s="14"/>
      <c r="W35" s="14"/>
      <c r="X35" s="14"/>
      <c r="Y35" s="13"/>
      <c r="Z35" s="14"/>
      <c r="AA35" s="14"/>
      <c r="AB35" s="14"/>
      <c r="AC35" s="14"/>
      <c r="AD35" s="13"/>
      <c r="AE35" s="14"/>
      <c r="AF35" s="14"/>
      <c r="AG35" s="14"/>
      <c r="AH35" s="14"/>
      <c r="AI35" s="13"/>
      <c r="AJ35" s="14"/>
      <c r="AK35" s="14"/>
      <c r="AL35" s="14"/>
      <c r="AM35" s="14"/>
      <c r="AN35" s="13"/>
      <c r="AO35" s="14"/>
      <c r="AP35" s="14"/>
      <c r="AQ35" s="14"/>
      <c r="AR35" s="18"/>
      <c r="AS35" s="13"/>
      <c r="AT35" s="18">
        <v>0</v>
      </c>
      <c r="AU35" s="14">
        <v>0</v>
      </c>
      <c r="AV35" s="18">
        <v>0</v>
      </c>
      <c r="AW35" s="14" t="s">
        <v>326</v>
      </c>
      <c r="AY35" s="18">
        <v>0</v>
      </c>
      <c r="AZ35" s="14">
        <v>0</v>
      </c>
      <c r="BA35" s="18"/>
      <c r="BB35" s="14"/>
    </row>
    <row r="36" spans="2:54 16384:16384" ht="15" customHeight="1" x14ac:dyDescent="0.25">
      <c r="B36" s="13" t="s">
        <v>258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3"/>
      <c r="K36" s="14">
        <v>0</v>
      </c>
      <c r="L36" s="14">
        <v>0</v>
      </c>
      <c r="M36" s="14">
        <v>0</v>
      </c>
      <c r="N36" s="14">
        <v>0</v>
      </c>
      <c r="O36" s="13"/>
      <c r="P36" s="14">
        <v>0</v>
      </c>
      <c r="Q36" s="14">
        <v>0</v>
      </c>
      <c r="R36" s="14">
        <v>0</v>
      </c>
      <c r="S36" s="14">
        <v>0</v>
      </c>
      <c r="T36" s="13"/>
      <c r="U36" s="14">
        <v>0</v>
      </c>
      <c r="V36" s="14">
        <v>0</v>
      </c>
      <c r="W36" s="14">
        <v>0</v>
      </c>
      <c r="X36" s="14">
        <v>0</v>
      </c>
      <c r="Y36" s="13"/>
      <c r="Z36" s="14">
        <v>0</v>
      </c>
      <c r="AA36" s="14">
        <v>0</v>
      </c>
      <c r="AB36" s="14">
        <v>0</v>
      </c>
      <c r="AC36" s="14">
        <v>0</v>
      </c>
      <c r="AD36" s="13"/>
      <c r="AE36" s="14">
        <v>0</v>
      </c>
      <c r="AF36" s="14">
        <v>0</v>
      </c>
      <c r="AG36" s="14">
        <v>0</v>
      </c>
      <c r="AH36" s="14">
        <v>0</v>
      </c>
      <c r="AI36" s="13"/>
      <c r="AJ36" s="14">
        <v>0</v>
      </c>
      <c r="AK36" s="121">
        <v>-949</v>
      </c>
      <c r="AL36" s="14">
        <v>-949</v>
      </c>
      <c r="AM36" s="14">
        <v>-1474</v>
      </c>
      <c r="AN36" s="13"/>
      <c r="AO36" s="14">
        <v>-15532</v>
      </c>
      <c r="AP36" s="14">
        <v>-7526</v>
      </c>
      <c r="AQ36" s="14">
        <v>-1166</v>
      </c>
      <c r="AR36" s="18">
        <v>-1166</v>
      </c>
      <c r="AS36" s="13"/>
      <c r="AT36" s="18">
        <v>-4318</v>
      </c>
      <c r="AU36" s="14">
        <v>-3165</v>
      </c>
      <c r="AV36" s="18">
        <v>-220</v>
      </c>
      <c r="AW36" s="14">
        <v>-220</v>
      </c>
      <c r="AY36" s="18">
        <v>-13402</v>
      </c>
      <c r="AZ36" s="14">
        <v>-4701</v>
      </c>
      <c r="BA36" s="18"/>
      <c r="BB36" s="14"/>
    </row>
    <row r="37" spans="2:54 16384:16384" ht="15" customHeight="1" x14ac:dyDescent="0.25">
      <c r="B37" s="16" t="s">
        <v>310</v>
      </c>
      <c r="C37" s="14">
        <v>557</v>
      </c>
      <c r="D37" s="14">
        <v>1215</v>
      </c>
      <c r="E37" s="14">
        <v>0</v>
      </c>
      <c r="F37" s="14">
        <v>0</v>
      </c>
      <c r="G37" s="14">
        <v>0</v>
      </c>
      <c r="H37" s="14">
        <v>0</v>
      </c>
      <c r="I37" s="14">
        <v>3045</v>
      </c>
      <c r="J37" s="13"/>
      <c r="K37" s="14">
        <v>6680</v>
      </c>
      <c r="L37" s="14">
        <v>6680</v>
      </c>
      <c r="M37" s="14">
        <v>6681</v>
      </c>
      <c r="N37" s="14">
        <v>0</v>
      </c>
      <c r="O37" s="13"/>
      <c r="P37" s="14">
        <v>10684</v>
      </c>
      <c r="Q37" s="14">
        <v>10684</v>
      </c>
      <c r="R37" s="14">
        <v>10684</v>
      </c>
      <c r="S37" s="14">
        <v>0</v>
      </c>
      <c r="T37" s="13"/>
      <c r="U37" s="14">
        <v>0</v>
      </c>
      <c r="V37" s="14">
        <v>0</v>
      </c>
      <c r="W37" s="14">
        <v>0</v>
      </c>
      <c r="X37" s="14">
        <v>0</v>
      </c>
      <c r="Y37" s="13"/>
      <c r="Z37" s="14">
        <v>1331</v>
      </c>
      <c r="AA37" s="14">
        <v>5324</v>
      </c>
      <c r="AB37" s="14">
        <v>9318</v>
      </c>
      <c r="AC37" s="14">
        <v>13311</v>
      </c>
      <c r="AD37" s="13"/>
      <c r="AE37" s="14">
        <v>16052</v>
      </c>
      <c r="AF37" s="14">
        <v>19090</v>
      </c>
      <c r="AG37" s="14">
        <v>22155</v>
      </c>
      <c r="AH37" s="14">
        <v>25086</v>
      </c>
      <c r="AI37" s="13"/>
      <c r="AJ37" s="14">
        <v>27070.8652</v>
      </c>
      <c r="AK37" s="14">
        <v>29315</v>
      </c>
      <c r="AL37" s="14">
        <v>31874</v>
      </c>
      <c r="AM37" s="14">
        <v>34266</v>
      </c>
      <c r="AN37" s="13"/>
      <c r="AO37" s="14">
        <v>35888</v>
      </c>
      <c r="AP37" s="14">
        <v>37293</v>
      </c>
      <c r="AQ37" s="14">
        <v>38643</v>
      </c>
      <c r="AR37" s="18">
        <v>-6331</v>
      </c>
      <c r="AS37" s="13"/>
      <c r="AT37" s="18">
        <v>41564</v>
      </c>
      <c r="AU37" s="14">
        <v>42592</v>
      </c>
      <c r="AV37" s="24">
        <v>43547</v>
      </c>
      <c r="AW37" s="14">
        <v>-1954</v>
      </c>
      <c r="AY37" s="18">
        <v>-1441</v>
      </c>
      <c r="AZ37" s="14">
        <v>10825</v>
      </c>
      <c r="BA37" s="24"/>
      <c r="BB37" s="14"/>
    </row>
    <row r="38" spans="2:54 16384:16384" ht="15" customHeight="1" x14ac:dyDescent="0.25">
      <c r="B38" s="33" t="s">
        <v>52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33"/>
      <c r="K38" s="14">
        <v>0</v>
      </c>
      <c r="L38" s="14">
        <v>0</v>
      </c>
      <c r="M38" s="14">
        <v>0</v>
      </c>
      <c r="N38" s="14">
        <v>0</v>
      </c>
      <c r="O38" s="33"/>
      <c r="P38" s="14">
        <v>24928</v>
      </c>
      <c r="Q38" s="14">
        <v>9896</v>
      </c>
      <c r="R38" s="14">
        <v>9896</v>
      </c>
      <c r="S38" s="14">
        <v>0</v>
      </c>
      <c r="T38" s="33"/>
      <c r="U38" s="14">
        <v>0</v>
      </c>
      <c r="V38" s="14">
        <v>0</v>
      </c>
      <c r="W38" s="14">
        <v>0</v>
      </c>
      <c r="X38" s="14">
        <v>0</v>
      </c>
      <c r="Y38" s="33"/>
      <c r="Z38" s="14">
        <v>0</v>
      </c>
      <c r="AA38" s="14">
        <v>0</v>
      </c>
      <c r="AB38" s="14">
        <v>0</v>
      </c>
      <c r="AC38" s="14">
        <v>0</v>
      </c>
      <c r="AD38" s="33"/>
      <c r="AE38" s="14">
        <v>0</v>
      </c>
      <c r="AF38" s="14">
        <v>0</v>
      </c>
      <c r="AG38" s="14">
        <v>0</v>
      </c>
      <c r="AH38" s="14"/>
      <c r="AI38" s="33"/>
      <c r="AJ38" s="14"/>
      <c r="AK38" s="14">
        <v>0</v>
      </c>
      <c r="AL38" s="14">
        <v>0</v>
      </c>
      <c r="AM38" s="14">
        <v>0</v>
      </c>
      <c r="AN38" s="33"/>
      <c r="AO38" s="14">
        <v>0</v>
      </c>
      <c r="AP38" s="14">
        <v>0</v>
      </c>
      <c r="AQ38" s="14">
        <v>0</v>
      </c>
      <c r="AR38" s="14">
        <v>0</v>
      </c>
      <c r="AS38" s="33"/>
      <c r="AT38" s="18">
        <v>0</v>
      </c>
      <c r="AU38" s="14">
        <v>0</v>
      </c>
      <c r="AV38" s="18">
        <v>0</v>
      </c>
      <c r="AW38" s="18">
        <v>0</v>
      </c>
      <c r="AY38" s="18">
        <v>0</v>
      </c>
      <c r="AZ38" s="14">
        <v>0</v>
      </c>
      <c r="BA38" s="18"/>
      <c r="BB38" s="18"/>
    </row>
    <row r="39" spans="2:54 16384:16384" ht="15" customHeight="1" x14ac:dyDescent="0.25">
      <c r="B39" s="13" t="s">
        <v>53</v>
      </c>
      <c r="C39" s="14">
        <v>13111</v>
      </c>
      <c r="D39" s="14">
        <v>27949</v>
      </c>
      <c r="E39" s="14">
        <v>42148</v>
      </c>
      <c r="F39" s="14">
        <v>36431</v>
      </c>
      <c r="G39" s="14">
        <v>45493</v>
      </c>
      <c r="H39" s="14">
        <v>71249</v>
      </c>
      <c r="I39" s="14">
        <v>117631</v>
      </c>
      <c r="J39" s="13"/>
      <c r="K39" s="14">
        <v>120035</v>
      </c>
      <c r="L39" s="14">
        <v>147832</v>
      </c>
      <c r="M39" s="14">
        <v>168018</v>
      </c>
      <c r="N39" s="14">
        <v>265595</v>
      </c>
      <c r="O39" s="13"/>
      <c r="P39" s="14">
        <v>184922</v>
      </c>
      <c r="Q39" s="14">
        <v>170467</v>
      </c>
      <c r="R39" s="14">
        <v>200892</v>
      </c>
      <c r="S39" s="14">
        <v>239032</v>
      </c>
      <c r="T39" s="13"/>
      <c r="U39" s="14">
        <v>239729</v>
      </c>
      <c r="V39" s="14">
        <v>271606</v>
      </c>
      <c r="W39" s="14">
        <v>392577</v>
      </c>
      <c r="X39" s="14">
        <v>295485</v>
      </c>
      <c r="Y39" s="13"/>
      <c r="Z39" s="14">
        <v>346761</v>
      </c>
      <c r="AA39" s="14">
        <v>447353</v>
      </c>
      <c r="AB39" s="14">
        <v>545525</v>
      </c>
      <c r="AC39" s="14">
        <v>712817</v>
      </c>
      <c r="AD39" s="13"/>
      <c r="AE39" s="14">
        <v>769836</v>
      </c>
      <c r="AF39" s="14">
        <v>883701</v>
      </c>
      <c r="AG39" s="14">
        <v>1053097</v>
      </c>
      <c r="AH39" s="14">
        <v>1220368</v>
      </c>
      <c r="AI39" s="13"/>
      <c r="AJ39" s="14">
        <v>1325178</v>
      </c>
      <c r="AK39" s="14">
        <v>1403773</v>
      </c>
      <c r="AL39" s="14">
        <v>1623154</v>
      </c>
      <c r="AM39" s="14">
        <v>1738078</v>
      </c>
      <c r="AN39" s="13"/>
      <c r="AO39" s="14">
        <v>1895739</v>
      </c>
      <c r="AP39" s="14">
        <v>2042253</v>
      </c>
      <c r="AQ39" s="14">
        <v>2361225</v>
      </c>
      <c r="AR39" s="14">
        <v>2402702</v>
      </c>
      <c r="AS39" s="13"/>
      <c r="AT39" s="18">
        <v>2595272</v>
      </c>
      <c r="AU39" s="14">
        <v>2927065</v>
      </c>
      <c r="AV39" s="147">
        <v>3130822</v>
      </c>
      <c r="AW39" s="14">
        <v>1218191</v>
      </c>
      <c r="AY39" s="18">
        <v>1307421</v>
      </c>
      <c r="AZ39" s="14">
        <v>1514799</v>
      </c>
      <c r="BA39" s="147"/>
      <c r="BB39" s="14"/>
    </row>
    <row r="40" spans="2:54 16384:16384" ht="15" customHeight="1" x14ac:dyDescent="0.25">
      <c r="B40" s="16" t="s">
        <v>311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3"/>
      <c r="K40" s="14">
        <v>0</v>
      </c>
      <c r="L40" s="14">
        <v>0</v>
      </c>
      <c r="M40" s="14">
        <v>0</v>
      </c>
      <c r="N40" s="14">
        <v>0</v>
      </c>
      <c r="O40" s="13"/>
      <c r="P40" s="14">
        <v>0</v>
      </c>
      <c r="Q40" s="14">
        <v>0</v>
      </c>
      <c r="R40" s="14">
        <v>0</v>
      </c>
      <c r="S40" s="14">
        <v>0</v>
      </c>
      <c r="T40" s="13"/>
      <c r="U40" s="14">
        <v>0</v>
      </c>
      <c r="V40" s="14">
        <v>0</v>
      </c>
      <c r="W40" s="14">
        <v>0</v>
      </c>
      <c r="X40" s="14">
        <v>0</v>
      </c>
      <c r="Y40" s="13"/>
      <c r="Z40" s="14">
        <v>0</v>
      </c>
      <c r="AA40" s="14">
        <v>0</v>
      </c>
      <c r="AB40" s="14">
        <v>0</v>
      </c>
      <c r="AC40" s="14">
        <v>0</v>
      </c>
      <c r="AD40" s="13"/>
      <c r="AE40" s="14">
        <v>0</v>
      </c>
      <c r="AF40" s="14">
        <v>0</v>
      </c>
      <c r="AG40" s="14">
        <v>0</v>
      </c>
      <c r="AH40" s="14">
        <v>0</v>
      </c>
      <c r="AI40" s="13"/>
      <c r="AJ40" s="14">
        <v>0</v>
      </c>
      <c r="AK40" s="14">
        <v>0</v>
      </c>
      <c r="AL40" s="14">
        <v>-2041</v>
      </c>
      <c r="AM40" s="14">
        <v>-2041</v>
      </c>
      <c r="AN40" s="13"/>
      <c r="AO40" s="14">
        <v>-2041</v>
      </c>
      <c r="AP40" s="14">
        <v>-2041</v>
      </c>
      <c r="AQ40" s="14">
        <v>-2041</v>
      </c>
      <c r="AR40" s="14">
        <v>-2969</v>
      </c>
      <c r="AS40" s="13"/>
      <c r="AT40" s="18">
        <v>-2565</v>
      </c>
      <c r="AU40" s="14">
        <v>-2565</v>
      </c>
      <c r="AV40" s="18">
        <v>-2565</v>
      </c>
      <c r="AW40" s="14">
        <v>-2565</v>
      </c>
      <c r="AY40" s="18">
        <v>-2565</v>
      </c>
      <c r="AZ40" s="14">
        <v>-2565</v>
      </c>
      <c r="BA40" s="18"/>
      <c r="BB40" s="14"/>
    </row>
    <row r="41" spans="2:54 16384:16384" ht="15" customHeight="1" x14ac:dyDescent="0.25">
      <c r="B41" s="13" t="s">
        <v>261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3"/>
      <c r="K41" s="14">
        <v>0</v>
      </c>
      <c r="L41" s="14">
        <v>0</v>
      </c>
      <c r="M41" s="14">
        <v>0</v>
      </c>
      <c r="N41" s="14">
        <v>0</v>
      </c>
      <c r="O41" s="13"/>
      <c r="P41" s="14">
        <v>0</v>
      </c>
      <c r="Q41" s="14">
        <v>0</v>
      </c>
      <c r="R41" s="14">
        <v>0</v>
      </c>
      <c r="S41" s="14">
        <v>0</v>
      </c>
      <c r="T41" s="13"/>
      <c r="U41" s="14">
        <v>0</v>
      </c>
      <c r="V41" s="14">
        <v>0</v>
      </c>
      <c r="W41" s="14">
        <v>0</v>
      </c>
      <c r="X41" s="14">
        <v>0</v>
      </c>
      <c r="Y41" s="13"/>
      <c r="Z41" s="14">
        <v>0</v>
      </c>
      <c r="AA41" s="14">
        <v>0</v>
      </c>
      <c r="AB41" s="14">
        <v>0</v>
      </c>
      <c r="AC41" s="14">
        <v>0</v>
      </c>
      <c r="AD41" s="13"/>
      <c r="AE41" s="14">
        <v>0</v>
      </c>
      <c r="AF41" s="14">
        <v>0</v>
      </c>
      <c r="AG41" s="14">
        <v>0</v>
      </c>
      <c r="AH41" s="14">
        <v>0</v>
      </c>
      <c r="AI41" s="13"/>
      <c r="AJ41" s="14">
        <v>0</v>
      </c>
      <c r="AK41" s="14">
        <v>0</v>
      </c>
      <c r="AL41" s="14">
        <v>1</v>
      </c>
      <c r="AM41" s="14">
        <v>-283</v>
      </c>
      <c r="AN41" s="13"/>
      <c r="AO41" s="14">
        <v>738</v>
      </c>
      <c r="AP41" s="14">
        <v>4461</v>
      </c>
      <c r="AQ41" s="14">
        <v>3485</v>
      </c>
      <c r="AR41" s="14">
        <v>9958</v>
      </c>
      <c r="AS41" s="13"/>
      <c r="AT41" s="18">
        <v>3600</v>
      </c>
      <c r="AU41" s="14">
        <v>-998</v>
      </c>
      <c r="AV41" s="18">
        <v>99</v>
      </c>
      <c r="AW41" s="14">
        <v>2669</v>
      </c>
      <c r="AY41" s="18">
        <v>1904</v>
      </c>
      <c r="AZ41" s="14">
        <v>652</v>
      </c>
      <c r="BA41" s="18"/>
      <c r="BB41" s="14"/>
    </row>
    <row r="42" spans="2:54 16384:16384" ht="15" customHeight="1" x14ac:dyDescent="0.25">
      <c r="B42" s="13" t="s">
        <v>54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3"/>
      <c r="K42" s="14">
        <v>0</v>
      </c>
      <c r="L42" s="14">
        <v>0</v>
      </c>
      <c r="M42" s="14">
        <v>0</v>
      </c>
      <c r="N42" s="14">
        <v>0</v>
      </c>
      <c r="O42" s="13"/>
      <c r="P42" s="14">
        <v>0</v>
      </c>
      <c r="Q42" s="14">
        <v>0</v>
      </c>
      <c r="R42" s="14">
        <v>0</v>
      </c>
      <c r="S42" s="14">
        <v>0</v>
      </c>
      <c r="T42" s="13"/>
      <c r="U42" s="14">
        <v>0</v>
      </c>
      <c r="V42" s="14">
        <v>0</v>
      </c>
      <c r="W42" s="14">
        <v>0</v>
      </c>
      <c r="X42" s="14">
        <v>11800</v>
      </c>
      <c r="Y42" s="13"/>
      <c r="Z42" s="14">
        <v>0</v>
      </c>
      <c r="AA42" s="14">
        <v>0</v>
      </c>
      <c r="AB42" s="14">
        <v>0</v>
      </c>
      <c r="AC42" s="14">
        <v>0</v>
      </c>
      <c r="AD42" s="13"/>
      <c r="AE42" s="14">
        <v>0</v>
      </c>
      <c r="AF42" s="14">
        <v>0</v>
      </c>
      <c r="AG42" s="14">
        <v>0</v>
      </c>
      <c r="AH42" s="14">
        <v>53066</v>
      </c>
      <c r="AI42" s="13"/>
      <c r="AJ42" s="14">
        <v>0</v>
      </c>
      <c r="AK42" s="14">
        <v>0</v>
      </c>
      <c r="AL42" s="14">
        <v>0</v>
      </c>
      <c r="AM42" s="14">
        <v>58524</v>
      </c>
      <c r="AN42" s="13"/>
      <c r="AO42" s="14">
        <v>0</v>
      </c>
      <c r="AP42" s="14">
        <v>0</v>
      </c>
      <c r="AQ42" s="14">
        <v>0</v>
      </c>
      <c r="AR42" s="14">
        <v>68875</v>
      </c>
      <c r="AS42" s="13"/>
      <c r="AT42" s="18">
        <v>0</v>
      </c>
      <c r="AU42" s="14">
        <v>0</v>
      </c>
      <c r="AV42" s="18">
        <v>0</v>
      </c>
      <c r="AW42" s="14">
        <v>0</v>
      </c>
      <c r="AY42" s="18">
        <v>0</v>
      </c>
      <c r="AZ42" s="14">
        <v>0</v>
      </c>
      <c r="BA42" s="18"/>
      <c r="BB42" s="14"/>
    </row>
    <row r="43" spans="2:54 16384:16384" ht="15" customHeight="1" x14ac:dyDescent="0.25">
      <c r="B43" s="13" t="s">
        <v>240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3"/>
      <c r="K43" s="14">
        <v>0</v>
      </c>
      <c r="L43" s="14">
        <v>0</v>
      </c>
      <c r="M43" s="14">
        <v>0</v>
      </c>
      <c r="N43" s="14">
        <v>0</v>
      </c>
      <c r="O43" s="13"/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3"/>
      <c r="Z43" s="14">
        <v>0</v>
      </c>
      <c r="AA43" s="14">
        <v>0</v>
      </c>
      <c r="AB43" s="14">
        <v>0</v>
      </c>
      <c r="AC43" s="14">
        <v>0</v>
      </c>
      <c r="AD43" s="13"/>
      <c r="AE43" s="14">
        <v>0</v>
      </c>
      <c r="AF43" s="14">
        <v>0</v>
      </c>
      <c r="AG43" s="14">
        <v>0</v>
      </c>
      <c r="AH43" s="14">
        <v>1579</v>
      </c>
      <c r="AI43" s="13"/>
      <c r="AJ43" s="14">
        <v>0</v>
      </c>
      <c r="AK43" s="14">
        <v>1640</v>
      </c>
      <c r="AL43" s="14">
        <v>1265</v>
      </c>
      <c r="AM43" s="14">
        <v>4154</v>
      </c>
      <c r="AN43" s="13"/>
      <c r="AO43" s="14">
        <v>4523</v>
      </c>
      <c r="AP43" s="14">
        <v>5691</v>
      </c>
      <c r="AQ43" s="14">
        <v>6232</v>
      </c>
      <c r="AR43" s="14">
        <v>8004</v>
      </c>
      <c r="AS43" s="13"/>
      <c r="AT43" s="18">
        <v>9403</v>
      </c>
      <c r="AU43" s="14">
        <v>9432</v>
      </c>
      <c r="AV43" s="18">
        <v>9691</v>
      </c>
      <c r="AW43" s="14">
        <v>5297</v>
      </c>
      <c r="AY43" s="18">
        <v>7184</v>
      </c>
      <c r="AZ43" s="14">
        <v>6170</v>
      </c>
      <c r="BA43" s="18"/>
      <c r="BB43" s="14"/>
    </row>
    <row r="44" spans="2:54 16384:16384" ht="15" customHeight="1" x14ac:dyDescent="0.25">
      <c r="B44" s="29"/>
      <c r="J44" s="29"/>
      <c r="O44" s="29"/>
      <c r="T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S44" s="29"/>
      <c r="AU44" s="29"/>
      <c r="AZ44" s="29"/>
    </row>
    <row r="45" spans="2:54 16384:16384" ht="27.75" customHeight="1" x14ac:dyDescent="0.25">
      <c r="B45" s="34" t="s">
        <v>55</v>
      </c>
      <c r="C45" s="35">
        <f t="shared" ref="C45:I45" si="0">C31+C21+C7</f>
        <v>393655</v>
      </c>
      <c r="D45" s="35">
        <f t="shared" si="0"/>
        <v>483347</v>
      </c>
      <c r="E45" s="35">
        <f t="shared" si="0"/>
        <v>619827</v>
      </c>
      <c r="F45" s="35">
        <f t="shared" si="0"/>
        <v>704083</v>
      </c>
      <c r="G45" s="35">
        <f t="shared" si="0"/>
        <v>783480</v>
      </c>
      <c r="H45" s="35">
        <f t="shared" si="0"/>
        <v>788660</v>
      </c>
      <c r="I45" s="35">
        <f t="shared" si="0"/>
        <v>889107</v>
      </c>
      <c r="J45" s="34"/>
      <c r="K45" s="35">
        <v>1209614</v>
      </c>
      <c r="L45" s="35">
        <v>1403831</v>
      </c>
      <c r="M45" s="35">
        <v>1421505</v>
      </c>
      <c r="N45" s="35">
        <v>1148833</v>
      </c>
      <c r="O45" s="34"/>
      <c r="P45" s="35">
        <v>1579945</v>
      </c>
      <c r="Q45" s="35">
        <v>1557185</v>
      </c>
      <c r="R45" s="35">
        <v>1576298</v>
      </c>
      <c r="S45" s="35">
        <v>1637614</v>
      </c>
      <c r="T45" s="34"/>
      <c r="U45" s="35">
        <v>2213684</v>
      </c>
      <c r="V45" s="35">
        <v>1761976</v>
      </c>
      <c r="W45" s="35">
        <v>2157013</v>
      </c>
      <c r="X45" s="35">
        <v>2321373</v>
      </c>
      <c r="Y45" s="34"/>
      <c r="Z45" s="35">
        <v>3133942</v>
      </c>
      <c r="AA45" s="35">
        <v>3731347</v>
      </c>
      <c r="AB45" s="35">
        <v>4353136</v>
      </c>
      <c r="AC45" s="35">
        <v>4395601</v>
      </c>
      <c r="AD45" s="34"/>
      <c r="AE45" s="35">
        <v>5016524.0000100005</v>
      </c>
      <c r="AF45" s="35">
        <v>5526146.0454299999</v>
      </c>
      <c r="AG45" s="35">
        <v>5828033</v>
      </c>
      <c r="AH45" s="35">
        <v>6081989</v>
      </c>
      <c r="AI45" s="34"/>
      <c r="AJ45" s="35">
        <v>6436035</v>
      </c>
      <c r="AK45" s="35">
        <v>6262703</v>
      </c>
      <c r="AL45" s="35">
        <v>6622659</v>
      </c>
      <c r="AM45" s="35">
        <v>6883789</v>
      </c>
      <c r="AN45" s="34"/>
      <c r="AO45" s="35">
        <f>AO31+AO21+AO7</f>
        <v>7442511</v>
      </c>
      <c r="AP45" s="35">
        <f>AP31+AP21+AP7</f>
        <v>8530219</v>
      </c>
      <c r="AQ45" s="35">
        <f>AQ31+AQ21+AQ7</f>
        <v>8538809</v>
      </c>
      <c r="AR45" s="35">
        <f>AR31+AR21+AR7</f>
        <v>8889423</v>
      </c>
      <c r="AS45" s="34"/>
      <c r="AT45" s="35">
        <f>AT31+AT21+AT7</f>
        <v>9833353</v>
      </c>
      <c r="AU45" s="35">
        <f>AU31+AU21+AU7</f>
        <v>11584408</v>
      </c>
      <c r="AV45" s="35">
        <f>AV31+AV21+AV7</f>
        <v>12381553</v>
      </c>
      <c r="AW45" s="35">
        <f>AW31+AW21+AW7</f>
        <v>13104355</v>
      </c>
      <c r="AY45" s="35">
        <f>AY31+AY21+AY7</f>
        <v>14646091</v>
      </c>
      <c r="AZ45" s="35">
        <f>AZ31+AZ21+AZ7</f>
        <v>14480098</v>
      </c>
      <c r="BA45" s="35">
        <f>BA31+BA21+BA7</f>
        <v>0</v>
      </c>
      <c r="BB45" s="35">
        <f>BB31+BB21+BB7</f>
        <v>0</v>
      </c>
      <c r="XFD45" s="35"/>
    </row>
    <row r="46" spans="2:54 16384:16384" customFormat="1" ht="14.4" x14ac:dyDescent="0.3">
      <c r="B46" s="1"/>
      <c r="C46" s="24"/>
      <c r="D46" s="24"/>
      <c r="E46" s="24"/>
      <c r="F46" s="24"/>
      <c r="G46" s="24"/>
      <c r="H46" s="24"/>
      <c r="I46" s="24"/>
      <c r="J46" s="24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Y46" s="1"/>
      <c r="AZ46" s="1"/>
      <c r="BA46" s="1"/>
      <c r="BB46" s="1"/>
    </row>
    <row r="47" spans="2:54 16384:16384" customFormat="1" ht="14.4" x14ac:dyDescent="0.3">
      <c r="B47" s="1"/>
      <c r="C47" s="24"/>
      <c r="D47" s="24"/>
      <c r="E47" s="24"/>
      <c r="F47" s="24"/>
      <c r="G47" s="24"/>
      <c r="H47" s="24"/>
      <c r="I47" s="24"/>
      <c r="J47" s="24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Y47" s="1"/>
      <c r="AZ47" s="1"/>
      <c r="BA47" s="1"/>
      <c r="BB47" s="1"/>
    </row>
    <row r="48" spans="2:54 16384:16384" customFormat="1" ht="14.4" x14ac:dyDescent="0.3">
      <c r="B48" s="1"/>
      <c r="C48" s="24"/>
      <c r="D48" s="24"/>
      <c r="E48" s="24"/>
      <c r="F48" s="24"/>
      <c r="G48" s="24"/>
      <c r="H48" s="24"/>
      <c r="I48" s="24"/>
      <c r="J48" s="2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Y48" s="1"/>
      <c r="AZ48" s="1"/>
      <c r="BA48" s="1"/>
      <c r="BB48" s="1"/>
    </row>
    <row r="49" spans="2:54" customFormat="1" ht="14.4" x14ac:dyDescent="0.3">
      <c r="B49" s="1"/>
      <c r="C49" s="24"/>
      <c r="D49" s="24"/>
      <c r="E49" s="24"/>
      <c r="F49" s="24"/>
      <c r="G49" s="24"/>
      <c r="H49" s="24"/>
      <c r="I49" s="24"/>
      <c r="J49" s="2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Y49" s="1"/>
      <c r="AZ49" s="1"/>
      <c r="BA49" s="1"/>
      <c r="BB49" s="1"/>
    </row>
    <row r="50" spans="2:54" x14ac:dyDescent="0.25">
      <c r="C50" s="24"/>
      <c r="D50" s="24"/>
      <c r="E50" s="24"/>
      <c r="F50" s="24"/>
      <c r="G50" s="24"/>
      <c r="H50" s="24"/>
      <c r="I50" s="24"/>
      <c r="J50" s="24"/>
      <c r="U50" s="1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74FCA-E933-4E50-AFEF-EC893FC5B94D}">
  <sheetPr>
    <tabColor theme="4" tint="0.39997558519241921"/>
  </sheetPr>
  <dimension ref="B1:BB36"/>
  <sheetViews>
    <sheetView showGridLines="0" zoomScaleNormal="100" workbookViewId="0">
      <pane xSplit="2" ySplit="5" topLeftCell="AP6" activePane="bottomRight" state="frozen"/>
      <selection pane="topRight" activeCell="C1" sqref="C1"/>
      <selection pane="bottomLeft" activeCell="A7" sqref="A7"/>
      <selection pane="bottomRight" activeCell="AU21" sqref="AU21"/>
    </sheetView>
  </sheetViews>
  <sheetFormatPr defaultColWidth="9.109375" defaultRowHeight="13.2" x14ac:dyDescent="0.25"/>
  <cols>
    <col min="1" max="1" width="1.44140625" style="1" customWidth="1"/>
    <col min="2" max="2" width="54.6640625" style="1" customWidth="1"/>
    <col min="3" max="9" width="12.6640625" style="1" customWidth="1"/>
    <col min="10" max="10" width="2.6640625" style="1" customWidth="1"/>
    <col min="11" max="14" width="12.6640625" style="1" customWidth="1"/>
    <col min="15" max="15" width="2.6640625" style="1" customWidth="1"/>
    <col min="16" max="19" width="12.6640625" style="1" customWidth="1"/>
    <col min="20" max="20" width="2.6640625" style="1" customWidth="1"/>
    <col min="21" max="24" width="12.6640625" style="1" customWidth="1"/>
    <col min="25" max="25" width="2.6640625" style="1" customWidth="1"/>
    <col min="26" max="29" width="12.109375" style="1" customWidth="1"/>
    <col min="30" max="30" width="2.6640625" style="1" customWidth="1"/>
    <col min="31" max="31" width="12.109375" style="1" customWidth="1"/>
    <col min="32" max="34" width="12.88671875" style="1" customWidth="1"/>
    <col min="35" max="35" width="2.6640625" style="1" customWidth="1"/>
    <col min="36" max="36" width="12.109375" style="1" customWidth="1"/>
    <col min="37" max="39" width="12.88671875" style="1" customWidth="1"/>
    <col min="40" max="40" width="2.6640625" style="1" customWidth="1"/>
    <col min="41" max="41" width="12.109375" style="1" customWidth="1"/>
    <col min="42" max="44" width="12.88671875" style="1" customWidth="1"/>
    <col min="45" max="45" width="2.6640625" style="1" customWidth="1"/>
    <col min="46" max="46" width="12.109375" style="1" customWidth="1"/>
    <col min="47" max="49" width="12.88671875" style="1" customWidth="1"/>
    <col min="50" max="50" width="2.6640625" style="1" customWidth="1"/>
    <col min="51" max="54" width="12.88671875" style="1" customWidth="1"/>
    <col min="55" max="16384" width="9.109375" style="1"/>
  </cols>
  <sheetData>
    <row r="1" spans="2:54" x14ac:dyDescent="0.25">
      <c r="B1" s="37"/>
      <c r="J1" s="37"/>
      <c r="O1" s="37"/>
      <c r="T1" s="37"/>
      <c r="Y1" s="37"/>
      <c r="AD1" s="37"/>
      <c r="AI1" s="37"/>
      <c r="AN1" s="37"/>
      <c r="AS1" s="37"/>
    </row>
    <row r="2" spans="2:54" x14ac:dyDescent="0.25">
      <c r="B2" s="2"/>
      <c r="C2" s="3">
        <v>2011</v>
      </c>
      <c r="D2" s="3">
        <v>2012</v>
      </c>
      <c r="E2" s="3">
        <v>2013</v>
      </c>
      <c r="F2" s="3">
        <v>2014</v>
      </c>
      <c r="G2" s="3">
        <v>2015</v>
      </c>
      <c r="H2" s="3">
        <v>2016</v>
      </c>
      <c r="I2" s="3">
        <v>2017</v>
      </c>
      <c r="J2" s="2"/>
      <c r="K2" s="123">
        <v>2018</v>
      </c>
      <c r="L2" s="123"/>
      <c r="M2" s="123"/>
      <c r="N2" s="123"/>
      <c r="O2" s="2"/>
      <c r="P2" s="123">
        <v>2019</v>
      </c>
      <c r="Q2" s="123"/>
      <c r="R2" s="123"/>
      <c r="S2" s="123"/>
      <c r="T2" s="2"/>
      <c r="U2" s="123">
        <v>2020</v>
      </c>
      <c r="V2" s="123"/>
      <c r="W2" s="123"/>
      <c r="X2" s="123"/>
      <c r="Y2" s="2"/>
      <c r="Z2" s="123">
        <v>2021</v>
      </c>
      <c r="AA2" s="123"/>
      <c r="AB2" s="123"/>
      <c r="AC2" s="123"/>
      <c r="AD2" s="2"/>
      <c r="AE2" s="123">
        <v>2022</v>
      </c>
      <c r="AF2" s="123"/>
      <c r="AG2" s="123"/>
      <c r="AH2" s="123"/>
      <c r="AI2" s="2"/>
      <c r="AJ2" s="123">
        <v>2023</v>
      </c>
      <c r="AK2" s="123"/>
      <c r="AL2" s="123"/>
      <c r="AM2" s="123"/>
      <c r="AN2" s="2"/>
      <c r="AO2" s="123">
        <v>2024</v>
      </c>
      <c r="AP2" s="123"/>
      <c r="AQ2" s="123"/>
      <c r="AR2" s="123"/>
      <c r="AS2" s="2"/>
      <c r="AT2" s="123">
        <v>2025</v>
      </c>
      <c r="AU2" s="123"/>
      <c r="AV2" s="123"/>
      <c r="AW2" s="123"/>
      <c r="AY2" s="123">
        <v>2026</v>
      </c>
      <c r="AZ2" s="123"/>
      <c r="BA2" s="123"/>
      <c r="BB2" s="123"/>
    </row>
    <row r="3" spans="2:54" x14ac:dyDescent="0.25">
      <c r="B3" s="2"/>
      <c r="C3" s="4" t="s">
        <v>56</v>
      </c>
      <c r="D3" s="4" t="s">
        <v>57</v>
      </c>
      <c r="E3" s="4" t="s">
        <v>58</v>
      </c>
      <c r="F3" s="4" t="s">
        <v>59</v>
      </c>
      <c r="G3" s="4" t="s">
        <v>60</v>
      </c>
      <c r="H3" s="4" t="s">
        <v>61</v>
      </c>
      <c r="I3" s="4" t="s">
        <v>62</v>
      </c>
      <c r="J3" s="2"/>
      <c r="K3" s="4" t="s">
        <v>63</v>
      </c>
      <c r="L3" s="4" t="s">
        <v>64</v>
      </c>
      <c r="M3" s="4" t="s">
        <v>65</v>
      </c>
      <c r="N3" s="4" t="s">
        <v>66</v>
      </c>
      <c r="O3" s="2"/>
      <c r="P3" s="4" t="s">
        <v>67</v>
      </c>
      <c r="Q3" s="4" t="s">
        <v>68</v>
      </c>
      <c r="R3" s="4" t="s">
        <v>69</v>
      </c>
      <c r="S3" s="4" t="s">
        <v>70</v>
      </c>
      <c r="T3" s="2"/>
      <c r="U3" s="4" t="s">
        <v>71</v>
      </c>
      <c r="V3" s="4" t="s">
        <v>72</v>
      </c>
      <c r="W3" s="4" t="s">
        <v>73</v>
      </c>
      <c r="X3" s="4" t="s">
        <v>74</v>
      </c>
      <c r="Y3" s="2"/>
      <c r="Z3" s="4" t="s">
        <v>75</v>
      </c>
      <c r="AA3" s="4" t="s">
        <v>76</v>
      </c>
      <c r="AB3" s="4" t="s">
        <v>77</v>
      </c>
      <c r="AC3" s="4" t="s">
        <v>222</v>
      </c>
      <c r="AD3" s="2"/>
      <c r="AE3" s="4" t="s">
        <v>228</v>
      </c>
      <c r="AF3" s="4" t="s">
        <v>232</v>
      </c>
      <c r="AG3" s="4" t="s">
        <v>235</v>
      </c>
      <c r="AH3" s="4" t="s">
        <v>241</v>
      </c>
      <c r="AI3" s="2"/>
      <c r="AJ3" s="4" t="s">
        <v>249</v>
      </c>
      <c r="AK3" s="4" t="s">
        <v>250</v>
      </c>
      <c r="AL3" s="4" t="s">
        <v>251</v>
      </c>
      <c r="AM3" s="4" t="s">
        <v>252</v>
      </c>
      <c r="AN3" s="2"/>
      <c r="AO3" s="4" t="s">
        <v>268</v>
      </c>
      <c r="AP3" s="4" t="s">
        <v>269</v>
      </c>
      <c r="AQ3" s="4" t="s">
        <v>270</v>
      </c>
      <c r="AR3" s="4" t="s">
        <v>271</v>
      </c>
      <c r="AS3" s="2"/>
      <c r="AT3" s="4" t="s">
        <v>285</v>
      </c>
      <c r="AU3" s="4" t="s">
        <v>286</v>
      </c>
      <c r="AV3" s="4" t="s">
        <v>287</v>
      </c>
      <c r="AW3" s="4" t="s">
        <v>288</v>
      </c>
      <c r="AY3" s="4" t="s">
        <v>342</v>
      </c>
      <c r="AZ3" s="4" t="s">
        <v>349</v>
      </c>
      <c r="BA3" s="4" t="s">
        <v>350</v>
      </c>
      <c r="BB3" s="4" t="s">
        <v>351</v>
      </c>
    </row>
    <row r="4" spans="2:54" x14ac:dyDescent="0.25">
      <c r="B4" s="2"/>
      <c r="C4" s="2"/>
      <c r="D4" s="2"/>
      <c r="E4" s="2"/>
      <c r="F4" s="2"/>
      <c r="G4" s="2"/>
      <c r="H4" s="2"/>
      <c r="I4" s="2"/>
      <c r="J4" s="38"/>
      <c r="K4" s="38">
        <f>COLUMN()</f>
        <v>11</v>
      </c>
      <c r="L4" s="38">
        <f>COLUMN()</f>
        <v>12</v>
      </c>
      <c r="M4" s="38">
        <f>COLUMN()</f>
        <v>13</v>
      </c>
      <c r="N4" s="38">
        <f>COLUMN()</f>
        <v>14</v>
      </c>
      <c r="O4" s="38">
        <f>COLUMN()</f>
        <v>15</v>
      </c>
      <c r="P4" s="38">
        <f>COLUMN()</f>
        <v>16</v>
      </c>
      <c r="Q4" s="38">
        <f>COLUMN()</f>
        <v>17</v>
      </c>
      <c r="R4" s="38">
        <f>COLUMN()</f>
        <v>18</v>
      </c>
      <c r="S4" s="38">
        <f>COLUMN()</f>
        <v>19</v>
      </c>
      <c r="T4" s="38">
        <f>COLUMN()</f>
        <v>20</v>
      </c>
      <c r="U4" s="38">
        <f>COLUMN()</f>
        <v>21</v>
      </c>
      <c r="V4" s="38">
        <f>COLUMN()</f>
        <v>22</v>
      </c>
      <c r="W4" s="38">
        <f>COLUMN()</f>
        <v>23</v>
      </c>
      <c r="X4" s="38">
        <f>COLUMN()</f>
        <v>24</v>
      </c>
      <c r="Y4" s="38">
        <f>COLUMN()</f>
        <v>25</v>
      </c>
      <c r="Z4" s="38">
        <f>COLUMN()</f>
        <v>26</v>
      </c>
      <c r="AA4" s="38">
        <f>COLUMN()</f>
        <v>27</v>
      </c>
      <c r="AB4" s="38">
        <f>COLUMN()</f>
        <v>28</v>
      </c>
      <c r="AC4" s="38">
        <f>COLUMN()</f>
        <v>29</v>
      </c>
      <c r="AD4" s="38">
        <f>COLUMN()</f>
        <v>30</v>
      </c>
      <c r="AE4" s="38">
        <f>COLUMN()</f>
        <v>31</v>
      </c>
      <c r="AF4" s="38">
        <f>COLUMN()</f>
        <v>32</v>
      </c>
      <c r="AG4" s="38">
        <f>COLUMN()</f>
        <v>33</v>
      </c>
      <c r="AH4" s="38">
        <f>COLUMN()</f>
        <v>34</v>
      </c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Y4" s="2"/>
      <c r="AZ4" s="2"/>
      <c r="BA4" s="2"/>
      <c r="BB4" s="2"/>
    </row>
    <row r="5" spans="2:54" ht="15" customHeight="1" thickBot="1" x14ac:dyDescent="0.3">
      <c r="B5" s="36" t="s">
        <v>78</v>
      </c>
      <c r="C5" s="7">
        <v>40908</v>
      </c>
      <c r="D5" s="7">
        <v>41274</v>
      </c>
      <c r="E5" s="7">
        <v>41639</v>
      </c>
      <c r="F5" s="7">
        <v>42004</v>
      </c>
      <c r="G5" s="7">
        <v>42369</v>
      </c>
      <c r="H5" s="7">
        <v>42735</v>
      </c>
      <c r="I5" s="7">
        <v>43100</v>
      </c>
      <c r="J5" s="36"/>
      <c r="K5" s="39">
        <v>43190</v>
      </c>
      <c r="L5" s="39">
        <v>43281</v>
      </c>
      <c r="M5" s="39">
        <v>43373</v>
      </c>
      <c r="N5" s="39">
        <v>43465</v>
      </c>
      <c r="O5" s="36"/>
      <c r="P5" s="39">
        <v>43555</v>
      </c>
      <c r="Q5" s="39">
        <v>43646</v>
      </c>
      <c r="R5" s="39">
        <v>43738</v>
      </c>
      <c r="S5" s="39">
        <v>43830</v>
      </c>
      <c r="T5" s="36"/>
      <c r="U5" s="39">
        <v>43921</v>
      </c>
      <c r="V5" s="39">
        <v>44012</v>
      </c>
      <c r="W5" s="39">
        <v>44104</v>
      </c>
      <c r="X5" s="39">
        <v>44196</v>
      </c>
      <c r="Y5" s="36"/>
      <c r="Z5" s="39">
        <v>44286</v>
      </c>
      <c r="AA5" s="39">
        <v>44377</v>
      </c>
      <c r="AB5" s="39">
        <v>44469</v>
      </c>
      <c r="AC5" s="39">
        <v>44561</v>
      </c>
      <c r="AD5" s="36"/>
      <c r="AE5" s="39">
        <v>44651</v>
      </c>
      <c r="AF5" s="39">
        <v>44742</v>
      </c>
      <c r="AG5" s="39">
        <v>44834</v>
      </c>
      <c r="AH5" s="39">
        <v>44926</v>
      </c>
      <c r="AI5" s="36"/>
      <c r="AJ5" s="39">
        <v>45016</v>
      </c>
      <c r="AK5" s="39">
        <v>45107</v>
      </c>
      <c r="AL5" s="39">
        <v>45199</v>
      </c>
      <c r="AM5" s="39">
        <v>45291</v>
      </c>
      <c r="AN5" s="36"/>
      <c r="AO5" s="39">
        <v>45382</v>
      </c>
      <c r="AP5" s="39">
        <v>45473</v>
      </c>
      <c r="AQ5" s="39">
        <v>45565</v>
      </c>
      <c r="AR5" s="39">
        <v>45657</v>
      </c>
      <c r="AS5" s="36"/>
      <c r="AT5" s="39">
        <v>45747</v>
      </c>
      <c r="AU5" s="39">
        <v>45838</v>
      </c>
      <c r="AV5" s="39">
        <v>45930</v>
      </c>
      <c r="AW5" s="39">
        <v>46022</v>
      </c>
      <c r="AY5" s="7">
        <v>46112</v>
      </c>
      <c r="AZ5" s="7">
        <v>46203</v>
      </c>
      <c r="BA5" s="7">
        <v>46295</v>
      </c>
      <c r="BB5" s="7">
        <v>46387</v>
      </c>
    </row>
    <row r="6" spans="2:54" ht="13.8" thickTop="1" x14ac:dyDescent="0.25">
      <c r="B6" s="29"/>
      <c r="C6" s="9"/>
      <c r="D6" s="9"/>
      <c r="E6" s="9"/>
      <c r="F6" s="9"/>
      <c r="G6" s="9"/>
      <c r="H6" s="9"/>
      <c r="I6" s="9"/>
      <c r="J6" s="29"/>
      <c r="K6" s="40"/>
      <c r="L6" s="40"/>
      <c r="M6" s="40"/>
      <c r="N6" s="40"/>
      <c r="O6" s="29"/>
      <c r="P6" s="40"/>
      <c r="Q6" s="40"/>
      <c r="R6" s="40"/>
      <c r="S6" s="40"/>
      <c r="T6" s="29"/>
      <c r="U6" s="40"/>
      <c r="V6" s="40"/>
      <c r="W6" s="40"/>
      <c r="X6" s="40"/>
      <c r="Y6" s="29"/>
      <c r="Z6" s="40"/>
      <c r="AA6" s="40"/>
      <c r="AB6" s="40"/>
      <c r="AC6" s="40"/>
      <c r="AD6" s="29"/>
      <c r="AE6" s="40"/>
      <c r="AF6" s="40"/>
      <c r="AG6" s="40"/>
      <c r="AH6" s="40"/>
      <c r="AI6" s="29"/>
      <c r="AJ6" s="40"/>
      <c r="AK6" s="40"/>
      <c r="AL6" s="40"/>
      <c r="AM6" s="40"/>
      <c r="AN6" s="29"/>
      <c r="AO6" s="40"/>
      <c r="AP6" s="40"/>
      <c r="AQ6" s="40"/>
      <c r="AR6" s="40"/>
      <c r="AS6" s="29"/>
      <c r="AT6" s="40"/>
      <c r="AU6" s="40"/>
      <c r="AV6" s="40"/>
      <c r="AW6" s="40"/>
    </row>
    <row r="7" spans="2:54" x14ac:dyDescent="0.25">
      <c r="B7" s="10" t="s">
        <v>79</v>
      </c>
      <c r="C7" s="41">
        <v>391714</v>
      </c>
      <c r="D7" s="41">
        <v>480981</v>
      </c>
      <c r="E7" s="41">
        <v>901692</v>
      </c>
      <c r="F7" s="41">
        <v>917302</v>
      </c>
      <c r="G7" s="41">
        <v>1113738</v>
      </c>
      <c r="H7" s="41">
        <v>1140102</v>
      </c>
      <c r="I7" s="41">
        <v>1326097</v>
      </c>
      <c r="J7" s="10"/>
      <c r="K7" s="42">
        <v>334635</v>
      </c>
      <c r="L7" s="42">
        <v>803835</v>
      </c>
      <c r="M7" s="42">
        <v>1334041</v>
      </c>
      <c r="N7" s="42">
        <v>1921574</v>
      </c>
      <c r="O7" s="12"/>
      <c r="P7" s="42">
        <v>448708</v>
      </c>
      <c r="Q7" s="42">
        <v>960712</v>
      </c>
      <c r="R7" s="42">
        <v>1553070</v>
      </c>
      <c r="S7" s="42">
        <v>2239573</v>
      </c>
      <c r="T7" s="12"/>
      <c r="U7" s="42">
        <v>513864</v>
      </c>
      <c r="V7" s="42">
        <v>1254331</v>
      </c>
      <c r="W7" s="42">
        <v>2102364</v>
      </c>
      <c r="X7" s="42">
        <v>3110407</v>
      </c>
      <c r="Y7" s="12"/>
      <c r="Z7" s="42">
        <v>769273</v>
      </c>
      <c r="AA7" s="42">
        <v>1974653</v>
      </c>
      <c r="AB7" s="41">
        <v>3704198</v>
      </c>
      <c r="AC7" s="41">
        <v>5339317</v>
      </c>
      <c r="AD7" s="12"/>
      <c r="AE7" s="42">
        <v>1273235</v>
      </c>
      <c r="AF7" s="42">
        <v>2770538</v>
      </c>
      <c r="AG7" s="42">
        <v>4729450</v>
      </c>
      <c r="AH7" s="42">
        <v>6885839</v>
      </c>
      <c r="AI7" s="12"/>
      <c r="AJ7" s="42">
        <v>1804695.8304899998</v>
      </c>
      <c r="AK7" s="42">
        <v>3565055</v>
      </c>
      <c r="AL7" s="42">
        <v>5969395</v>
      </c>
      <c r="AM7" s="42">
        <v>8998985</v>
      </c>
      <c r="AN7" s="12"/>
      <c r="AO7" s="42">
        <v>2679222</v>
      </c>
      <c r="AP7" s="42">
        <v>5475691</v>
      </c>
      <c r="AQ7" s="42">
        <v>8972251</v>
      </c>
      <c r="AR7" s="42">
        <v>12825771</v>
      </c>
      <c r="AS7" s="12"/>
      <c r="AT7" s="42">
        <v>3499108</v>
      </c>
      <c r="AU7" s="42">
        <v>7061985</v>
      </c>
      <c r="AV7" s="42">
        <v>12056864</v>
      </c>
      <c r="AW7" s="152">
        <v>16423694</v>
      </c>
      <c r="AY7" s="152">
        <v>4206948</v>
      </c>
      <c r="AZ7" s="152">
        <v>8907348</v>
      </c>
      <c r="BA7" s="152"/>
      <c r="BB7" s="152"/>
    </row>
    <row r="8" spans="2:54" x14ac:dyDescent="0.25">
      <c r="B8" s="13" t="s">
        <v>302</v>
      </c>
      <c r="C8" s="44">
        <v>-329161</v>
      </c>
      <c r="D8" s="44">
        <v>-418781</v>
      </c>
      <c r="E8" s="44">
        <v>-809967</v>
      </c>
      <c r="F8" s="44">
        <v>-768371</v>
      </c>
      <c r="G8" s="44">
        <v>-943746</v>
      </c>
      <c r="H8" s="44">
        <v>-980114</v>
      </c>
      <c r="I8" s="44">
        <v>-1134837</v>
      </c>
      <c r="J8" s="13"/>
      <c r="K8" s="45">
        <v>-276066</v>
      </c>
      <c r="L8" s="45">
        <v>-649161</v>
      </c>
      <c r="M8" s="45">
        <v>-1099952</v>
      </c>
      <c r="N8" s="45">
        <v>-1586216</v>
      </c>
      <c r="O8" s="26"/>
      <c r="P8" s="45">
        <v>-394538</v>
      </c>
      <c r="Q8" s="45">
        <v>-850061</v>
      </c>
      <c r="R8" s="45">
        <v>-1337336</v>
      </c>
      <c r="S8" s="45">
        <v>-1876596</v>
      </c>
      <c r="T8" s="26"/>
      <c r="U8" s="45">
        <v>-445610</v>
      </c>
      <c r="V8" s="45">
        <v>-1056850</v>
      </c>
      <c r="W8" s="45">
        <v>-1708771</v>
      </c>
      <c r="X8" s="45">
        <v>-2515200</v>
      </c>
      <c r="Y8" s="26"/>
      <c r="Z8" s="45">
        <v>-662028</v>
      </c>
      <c r="AA8" s="45">
        <v>-1681870</v>
      </c>
      <c r="AB8" s="44">
        <v>-3198415</v>
      </c>
      <c r="AC8" s="44">
        <v>-4638263</v>
      </c>
      <c r="AD8" s="26"/>
      <c r="AE8" s="45">
        <v>-1115042</v>
      </c>
      <c r="AF8" s="45">
        <v>-2359253</v>
      </c>
      <c r="AG8" s="45">
        <v>-4076931</v>
      </c>
      <c r="AH8" s="45">
        <v>-5842540</v>
      </c>
      <c r="AI8" s="26"/>
      <c r="AJ8" s="45">
        <v>-1544539.8846200004</v>
      </c>
      <c r="AK8" s="45">
        <v>-3120651</v>
      </c>
      <c r="AL8" s="45">
        <v>-5150117</v>
      </c>
      <c r="AM8" s="45">
        <v>-7752979</v>
      </c>
      <c r="AN8" s="26"/>
      <c r="AO8" s="45">
        <v>-2178441</v>
      </c>
      <c r="AP8" s="45">
        <v>-4258710</v>
      </c>
      <c r="AQ8" s="45">
        <v>-7124716</v>
      </c>
      <c r="AR8" s="45">
        <v>-10294268</v>
      </c>
      <c r="AS8" s="26"/>
      <c r="AT8" s="45">
        <v>-2987775</v>
      </c>
      <c r="AU8" s="45">
        <v>-5826956</v>
      </c>
      <c r="AV8" s="45">
        <v>-10276758</v>
      </c>
      <c r="AW8" s="75">
        <v>-13939323</v>
      </c>
      <c r="AY8" s="75">
        <v>-3555875</v>
      </c>
      <c r="AZ8" s="75">
        <v>-7460903</v>
      </c>
      <c r="BA8" s="75"/>
      <c r="BB8" s="75"/>
    </row>
    <row r="9" spans="2:54" x14ac:dyDescent="0.25">
      <c r="B9" s="10" t="s">
        <v>80</v>
      </c>
      <c r="C9" s="41">
        <v>62553</v>
      </c>
      <c r="D9" s="41">
        <v>62200</v>
      </c>
      <c r="E9" s="41">
        <v>91725</v>
      </c>
      <c r="F9" s="41">
        <v>148931</v>
      </c>
      <c r="G9" s="41">
        <v>169992</v>
      </c>
      <c r="H9" s="41">
        <v>159988</v>
      </c>
      <c r="I9" s="41">
        <v>191260</v>
      </c>
      <c r="J9" s="10"/>
      <c r="K9" s="42">
        <v>58569</v>
      </c>
      <c r="L9" s="42">
        <v>154674</v>
      </c>
      <c r="M9" s="42">
        <v>234089</v>
      </c>
      <c r="N9" s="42">
        <v>335358</v>
      </c>
      <c r="O9" s="12"/>
      <c r="P9" s="42">
        <v>54170</v>
      </c>
      <c r="Q9" s="42">
        <v>110651</v>
      </c>
      <c r="R9" s="42">
        <v>215734</v>
      </c>
      <c r="S9" s="42">
        <v>362977</v>
      </c>
      <c r="T9" s="12"/>
      <c r="U9" s="42">
        <v>68254</v>
      </c>
      <c r="V9" s="42">
        <v>197481</v>
      </c>
      <c r="W9" s="42">
        <v>393593</v>
      </c>
      <c r="X9" s="42">
        <v>595207</v>
      </c>
      <c r="Y9" s="12"/>
      <c r="Z9" s="42">
        <v>107245</v>
      </c>
      <c r="AA9" s="42">
        <v>292783</v>
      </c>
      <c r="AB9" s="41">
        <v>505783</v>
      </c>
      <c r="AC9" s="41">
        <v>701054</v>
      </c>
      <c r="AD9" s="12"/>
      <c r="AE9" s="42">
        <v>158193</v>
      </c>
      <c r="AF9" s="42">
        <v>411285</v>
      </c>
      <c r="AG9" s="42">
        <v>652519</v>
      </c>
      <c r="AH9" s="42">
        <v>1043299</v>
      </c>
      <c r="AI9" s="12"/>
      <c r="AJ9" s="42">
        <v>260155.94586999947</v>
      </c>
      <c r="AK9" s="42">
        <v>444404</v>
      </c>
      <c r="AL9" s="42">
        <v>819278</v>
      </c>
      <c r="AM9" s="42">
        <v>1246006</v>
      </c>
      <c r="AN9" s="12"/>
      <c r="AO9" s="42">
        <v>500781</v>
      </c>
      <c r="AP9" s="42">
        <v>1216981</v>
      </c>
      <c r="AQ9" s="42">
        <f>AQ7+AQ8</f>
        <v>1847535</v>
      </c>
      <c r="AR9" s="42">
        <f>AR7+AR8</f>
        <v>2531503</v>
      </c>
      <c r="AS9" s="12"/>
      <c r="AT9" s="42">
        <f>AT7+AT8</f>
        <v>511333</v>
      </c>
      <c r="AU9" s="42">
        <f>AU7+AU8</f>
        <v>1235029</v>
      </c>
      <c r="AV9" s="42">
        <f>AV7+AV8</f>
        <v>1780106</v>
      </c>
      <c r="AW9" s="42">
        <v>2484371</v>
      </c>
      <c r="AY9" s="42">
        <f>AY7+AY8</f>
        <v>651073</v>
      </c>
      <c r="AZ9" s="42">
        <f>AZ7+AZ8</f>
        <v>1446445</v>
      </c>
      <c r="BA9" s="42"/>
      <c r="BB9" s="42"/>
    </row>
    <row r="10" spans="2:54" x14ac:dyDescent="0.25">
      <c r="B10" s="47" t="s">
        <v>81</v>
      </c>
      <c r="C10" s="41">
        <v>-26009</v>
      </c>
      <c r="D10" s="41">
        <v>-28447</v>
      </c>
      <c r="E10" s="41">
        <v>-40662</v>
      </c>
      <c r="F10" s="41">
        <v>-69873</v>
      </c>
      <c r="G10" s="41">
        <v>-76853</v>
      </c>
      <c r="H10" s="41">
        <v>-90091</v>
      </c>
      <c r="I10" s="41">
        <v>-117393</v>
      </c>
      <c r="J10" s="47"/>
      <c r="K10" s="42">
        <v>-26143</v>
      </c>
      <c r="L10" s="42">
        <v>-66024</v>
      </c>
      <c r="M10" s="42">
        <v>-106058</v>
      </c>
      <c r="N10" s="42">
        <v>-157132</v>
      </c>
      <c r="O10" s="48"/>
      <c r="P10" s="42">
        <v>-36614</v>
      </c>
      <c r="Q10" s="42">
        <v>-76913</v>
      </c>
      <c r="R10" s="42">
        <v>-139459</v>
      </c>
      <c r="S10" s="42">
        <v>-190159</v>
      </c>
      <c r="T10" s="48"/>
      <c r="U10" s="42">
        <v>-39675</v>
      </c>
      <c r="V10" s="42">
        <v>-95363</v>
      </c>
      <c r="W10" s="42">
        <v>-164902</v>
      </c>
      <c r="X10" s="42">
        <v>-199412</v>
      </c>
      <c r="Y10" s="48"/>
      <c r="Z10" s="42">
        <v>-57271</v>
      </c>
      <c r="AA10" s="42">
        <v>-127300</v>
      </c>
      <c r="AB10" s="41">
        <v>-228027</v>
      </c>
      <c r="AC10" s="41">
        <v>-347460</v>
      </c>
      <c r="AD10" s="48"/>
      <c r="AE10" s="42">
        <v>-111693</v>
      </c>
      <c r="AF10" s="42">
        <v>-210995</v>
      </c>
      <c r="AG10" s="42">
        <v>-353210</v>
      </c>
      <c r="AH10" s="42">
        <v>-505648</v>
      </c>
      <c r="AI10" s="48"/>
      <c r="AJ10" s="42">
        <v>-149493.99109159995</v>
      </c>
      <c r="AK10" s="42">
        <v>-292902</v>
      </c>
      <c r="AL10" s="42">
        <v>-506050</v>
      </c>
      <c r="AM10" s="42">
        <v>-804316</v>
      </c>
      <c r="AN10" s="48"/>
      <c r="AO10" s="42">
        <v>-314877</v>
      </c>
      <c r="AP10" s="42">
        <v>-652463</v>
      </c>
      <c r="AQ10" s="42">
        <f>SUM(AQ11:AQ13)</f>
        <v>-941815</v>
      </c>
      <c r="AR10" s="42">
        <f>SUM(AR11:AR13)</f>
        <v>-1286205</v>
      </c>
      <c r="AS10" s="48"/>
      <c r="AT10" s="42">
        <f>SUM(AT11:AT13)</f>
        <v>-374396</v>
      </c>
      <c r="AU10" s="42">
        <f>SUM(AU11:AU13)</f>
        <v>-797175</v>
      </c>
      <c r="AV10" s="42">
        <f>SUM(AV11:AV13)</f>
        <v>-1338505</v>
      </c>
      <c r="AW10" s="42">
        <v>-1945383</v>
      </c>
      <c r="AY10" s="42">
        <f>SUM(AY11:AY13)</f>
        <v>-548459</v>
      </c>
      <c r="AZ10" s="42">
        <f>SUM(AZ11:AZ13)</f>
        <v>-1185388</v>
      </c>
      <c r="BA10" s="42"/>
      <c r="BB10" s="42"/>
    </row>
    <row r="11" spans="2:54" x14ac:dyDescent="0.25">
      <c r="B11" s="13" t="s">
        <v>82</v>
      </c>
      <c r="C11" s="44">
        <v>-9028</v>
      </c>
      <c r="D11" s="44">
        <v>-11180</v>
      </c>
      <c r="E11" s="44">
        <v>-14788</v>
      </c>
      <c r="F11" s="44">
        <v>-56870</v>
      </c>
      <c r="G11" s="44">
        <v>-77742</v>
      </c>
      <c r="H11" s="44">
        <v>-88319</v>
      </c>
      <c r="I11" s="44">
        <v>-119411</v>
      </c>
      <c r="J11" s="13"/>
      <c r="K11" s="45">
        <v>-23260</v>
      </c>
      <c r="L11" s="45">
        <v>-61824</v>
      </c>
      <c r="M11" s="45">
        <v>-106617</v>
      </c>
      <c r="N11" s="45">
        <v>-152412</v>
      </c>
      <c r="O11" s="26"/>
      <c r="P11" s="45">
        <v>-33136</v>
      </c>
      <c r="Q11" s="45">
        <v>-83342</v>
      </c>
      <c r="R11" s="45">
        <v>-143636</v>
      </c>
      <c r="S11" s="45">
        <v>-197749</v>
      </c>
      <c r="T11" s="26"/>
      <c r="U11" s="45">
        <v>-42989</v>
      </c>
      <c r="V11" s="45">
        <v>-93294</v>
      </c>
      <c r="W11" s="45">
        <v>-164502</v>
      </c>
      <c r="X11" s="45">
        <v>-203404</v>
      </c>
      <c r="Y11" s="26"/>
      <c r="Z11" s="45">
        <v>-48913</v>
      </c>
      <c r="AA11" s="45">
        <v>-113399</v>
      </c>
      <c r="AB11" s="44">
        <v>-205426</v>
      </c>
      <c r="AC11" s="44">
        <v>-319965</v>
      </c>
      <c r="AD11" s="26"/>
      <c r="AE11" s="45">
        <v>-98014</v>
      </c>
      <c r="AF11" s="45">
        <v>-192364</v>
      </c>
      <c r="AG11" s="45">
        <v>-320650</v>
      </c>
      <c r="AH11" s="45">
        <v>-462094</v>
      </c>
      <c r="AI11" s="26"/>
      <c r="AJ11" s="45">
        <v>-139027.19829999993</v>
      </c>
      <c r="AK11" s="45">
        <v>-271656</v>
      </c>
      <c r="AL11" s="45">
        <v>-474076</v>
      </c>
      <c r="AM11" s="45">
        <v>-764746</v>
      </c>
      <c r="AN11" s="26"/>
      <c r="AO11" s="45">
        <v>-303018</v>
      </c>
      <c r="AP11" s="45">
        <v>-601738</v>
      </c>
      <c r="AQ11" s="45">
        <v>-871593</v>
      </c>
      <c r="AR11" s="45">
        <v>-1183262</v>
      </c>
      <c r="AS11" s="26"/>
      <c r="AT11" s="45">
        <v>-352095</v>
      </c>
      <c r="AU11" s="45">
        <v>-735129</v>
      </c>
      <c r="AV11" s="45">
        <v>-1213736</v>
      </c>
      <c r="AW11" s="45">
        <v>-1785330</v>
      </c>
      <c r="AY11" s="45">
        <v>-496444</v>
      </c>
      <c r="AZ11" s="45">
        <v>-1074913</v>
      </c>
      <c r="BA11" s="45"/>
      <c r="BB11" s="45"/>
    </row>
    <row r="12" spans="2:54" x14ac:dyDescent="0.25">
      <c r="B12" s="13" t="s">
        <v>83</v>
      </c>
      <c r="C12" s="44">
        <v>-17985</v>
      </c>
      <c r="D12" s="44">
        <v>-21819</v>
      </c>
      <c r="E12" s="44">
        <v>-29933</v>
      </c>
      <c r="F12" s="44">
        <v>-17549</v>
      </c>
      <c r="G12" s="44">
        <v>-6811</v>
      </c>
      <c r="H12" s="44">
        <v>-8838</v>
      </c>
      <c r="I12" s="44">
        <v>-18111</v>
      </c>
      <c r="J12" s="13"/>
      <c r="K12" s="45">
        <v>-5169</v>
      </c>
      <c r="L12" s="45">
        <v>-7172</v>
      </c>
      <c r="M12" s="45">
        <v>-10556</v>
      </c>
      <c r="N12" s="45">
        <v>-12325</v>
      </c>
      <c r="O12" s="26"/>
      <c r="P12" s="45">
        <v>-3996</v>
      </c>
      <c r="Q12" s="45">
        <v>-8119</v>
      </c>
      <c r="R12" s="45">
        <v>-12495</v>
      </c>
      <c r="S12" s="45">
        <v>-19236</v>
      </c>
      <c r="T12" s="26"/>
      <c r="U12" s="45">
        <v>-4246</v>
      </c>
      <c r="V12" s="45">
        <v>-7876</v>
      </c>
      <c r="W12" s="45">
        <v>-12035</v>
      </c>
      <c r="X12" s="45">
        <v>-22003</v>
      </c>
      <c r="Y12" s="26"/>
      <c r="Z12" s="45">
        <v>-10682</v>
      </c>
      <c r="AA12" s="45">
        <v>-22170</v>
      </c>
      <c r="AB12" s="44">
        <v>-39928</v>
      </c>
      <c r="AC12" s="44">
        <v>-55707</v>
      </c>
      <c r="AD12" s="26"/>
      <c r="AE12" s="45">
        <v>-17456</v>
      </c>
      <c r="AF12" s="45">
        <v>-29840</v>
      </c>
      <c r="AG12" s="45">
        <v>-46087</v>
      </c>
      <c r="AH12" s="45">
        <v>-68374</v>
      </c>
      <c r="AI12" s="26"/>
      <c r="AJ12" s="45">
        <v>-16100.711629999996</v>
      </c>
      <c r="AK12" s="45">
        <v>-32572</v>
      </c>
      <c r="AL12" s="45">
        <v>-51640</v>
      </c>
      <c r="AM12" s="45">
        <v>-71818</v>
      </c>
      <c r="AN12" s="26"/>
      <c r="AO12" s="45">
        <v>-18957</v>
      </c>
      <c r="AP12" s="45">
        <v>-40931</v>
      </c>
      <c r="AQ12" s="45">
        <v>-65571</v>
      </c>
      <c r="AR12" s="45">
        <v>-106824</v>
      </c>
      <c r="AS12" s="26"/>
      <c r="AT12" s="45">
        <v>-23209</v>
      </c>
      <c r="AU12" s="45">
        <v>-54513</v>
      </c>
      <c r="AV12" s="45">
        <v>-95341</v>
      </c>
      <c r="AW12" s="45">
        <v>-137153</v>
      </c>
      <c r="AY12" s="45">
        <v>-44199</v>
      </c>
      <c r="AZ12" s="45">
        <v>-97221</v>
      </c>
      <c r="BA12" s="45"/>
      <c r="BB12" s="45"/>
    </row>
    <row r="13" spans="2:54" x14ac:dyDescent="0.25">
      <c r="B13" s="33" t="s">
        <v>84</v>
      </c>
      <c r="C13" s="44">
        <v>1034</v>
      </c>
      <c r="D13" s="44">
        <v>4112</v>
      </c>
      <c r="E13" s="44">
        <v>3397</v>
      </c>
      <c r="F13" s="44">
        <v>4606</v>
      </c>
      <c r="G13" s="44">
        <v>7700</v>
      </c>
      <c r="H13" s="44">
        <v>7066</v>
      </c>
      <c r="I13" s="44">
        <v>20129</v>
      </c>
      <c r="J13" s="33"/>
      <c r="K13" s="45">
        <v>2286</v>
      </c>
      <c r="L13" s="45">
        <v>2972</v>
      </c>
      <c r="M13" s="45">
        <v>11115</v>
      </c>
      <c r="N13" s="45">
        <v>7605</v>
      </c>
      <c r="O13" s="49"/>
      <c r="P13" s="45">
        <v>518</v>
      </c>
      <c r="Q13" s="45">
        <v>14548</v>
      </c>
      <c r="R13" s="45">
        <v>16672</v>
      </c>
      <c r="S13" s="45">
        <v>26826</v>
      </c>
      <c r="T13" s="49"/>
      <c r="U13" s="45">
        <v>7560</v>
      </c>
      <c r="V13" s="45">
        <v>5807</v>
      </c>
      <c r="W13" s="45">
        <v>11635</v>
      </c>
      <c r="X13" s="45">
        <v>25995</v>
      </c>
      <c r="Y13" s="49"/>
      <c r="Z13" s="45">
        <v>2324</v>
      </c>
      <c r="AA13" s="45">
        <v>8269</v>
      </c>
      <c r="AB13" s="44">
        <v>17327</v>
      </c>
      <c r="AC13" s="44">
        <v>28212</v>
      </c>
      <c r="AD13" s="49"/>
      <c r="AE13" s="45">
        <v>3777</v>
      </c>
      <c r="AF13" s="45">
        <v>11209</v>
      </c>
      <c r="AG13" s="45">
        <v>13527</v>
      </c>
      <c r="AH13" s="45">
        <v>24820</v>
      </c>
      <c r="AI13" s="49"/>
      <c r="AJ13" s="45">
        <v>5633.9188383999999</v>
      </c>
      <c r="AK13" s="45">
        <v>11326</v>
      </c>
      <c r="AL13" s="45">
        <v>19666</v>
      </c>
      <c r="AM13" s="45">
        <v>32248</v>
      </c>
      <c r="AN13" s="49"/>
      <c r="AO13" s="45">
        <v>7098</v>
      </c>
      <c r="AP13" s="45">
        <v>-9794</v>
      </c>
      <c r="AQ13" s="45">
        <v>-4651</v>
      </c>
      <c r="AR13" s="45">
        <v>3881</v>
      </c>
      <c r="AS13" s="49"/>
      <c r="AT13" s="45">
        <v>908</v>
      </c>
      <c r="AU13" s="45">
        <v>-7533</v>
      </c>
      <c r="AV13" s="45">
        <v>-29428</v>
      </c>
      <c r="AW13" s="45">
        <v>-22900</v>
      </c>
      <c r="AY13" s="45">
        <v>-7816</v>
      </c>
      <c r="AZ13" s="45">
        <v>-13254</v>
      </c>
      <c r="BA13" s="45"/>
      <c r="BB13" s="45"/>
    </row>
    <row r="14" spans="2:54" x14ac:dyDescent="0.25">
      <c r="B14" s="33" t="s">
        <v>85</v>
      </c>
      <c r="C14" s="44">
        <v>-30</v>
      </c>
      <c r="D14" s="44">
        <v>440</v>
      </c>
      <c r="E14" s="44">
        <v>662</v>
      </c>
      <c r="F14" s="44">
        <v>-60</v>
      </c>
      <c r="G14" s="44">
        <v>0</v>
      </c>
      <c r="H14" s="44">
        <v>0</v>
      </c>
      <c r="I14" s="44">
        <v>0</v>
      </c>
      <c r="J14" s="33"/>
      <c r="K14" s="45"/>
      <c r="L14" s="45"/>
      <c r="M14" s="45"/>
      <c r="N14" s="45"/>
      <c r="O14" s="49"/>
      <c r="P14" s="45"/>
      <c r="Q14" s="45"/>
      <c r="R14" s="45"/>
      <c r="S14" s="45"/>
      <c r="T14" s="49"/>
      <c r="U14" s="45"/>
      <c r="V14" s="45"/>
      <c r="W14" s="45"/>
      <c r="X14" s="45"/>
      <c r="Y14" s="49"/>
      <c r="Z14" s="45"/>
      <c r="AA14" s="45"/>
      <c r="AB14" s="44"/>
      <c r="AC14" s="44"/>
      <c r="AD14" s="49"/>
      <c r="AE14" s="45"/>
      <c r="AF14" s="45"/>
      <c r="AG14" s="45"/>
      <c r="AH14" s="45"/>
      <c r="AI14" s="49"/>
      <c r="AJ14" s="45"/>
      <c r="AK14" s="45"/>
      <c r="AL14" s="45"/>
      <c r="AM14" s="45"/>
      <c r="AN14" s="49"/>
      <c r="AO14" s="45"/>
      <c r="AP14" s="45"/>
      <c r="AQ14" s="45"/>
      <c r="AR14" s="45"/>
      <c r="AS14" s="49"/>
      <c r="AT14" s="45"/>
      <c r="AU14" s="45"/>
      <c r="AV14" s="45"/>
      <c r="AW14" s="45"/>
      <c r="AY14" s="45"/>
      <c r="AZ14" s="45"/>
      <c r="BA14" s="45"/>
      <c r="BB14" s="45"/>
    </row>
    <row r="15" spans="2:54" x14ac:dyDescent="0.25">
      <c r="B15" s="10" t="s">
        <v>86</v>
      </c>
      <c r="C15" s="41">
        <v>36544</v>
      </c>
      <c r="D15" s="41">
        <v>33753</v>
      </c>
      <c r="E15" s="41">
        <v>51063</v>
      </c>
      <c r="F15" s="41">
        <v>79058</v>
      </c>
      <c r="G15" s="41">
        <v>93139</v>
      </c>
      <c r="H15" s="41">
        <v>69897</v>
      </c>
      <c r="I15" s="41">
        <v>73867</v>
      </c>
      <c r="J15" s="10"/>
      <c r="K15" s="42">
        <v>32426</v>
      </c>
      <c r="L15" s="42">
        <v>88650</v>
      </c>
      <c r="M15" s="42">
        <v>128031</v>
      </c>
      <c r="N15" s="42">
        <v>178226</v>
      </c>
      <c r="O15" s="12"/>
      <c r="P15" s="42">
        <v>17556</v>
      </c>
      <c r="Q15" s="42">
        <v>33738</v>
      </c>
      <c r="R15" s="42">
        <v>76275</v>
      </c>
      <c r="S15" s="42">
        <v>172818</v>
      </c>
      <c r="T15" s="12"/>
      <c r="U15" s="42">
        <v>28579</v>
      </c>
      <c r="V15" s="42">
        <v>102118</v>
      </c>
      <c r="W15" s="42">
        <v>228691</v>
      </c>
      <c r="X15" s="42">
        <v>395795</v>
      </c>
      <c r="Y15" s="12"/>
      <c r="Z15" s="42">
        <v>49974</v>
      </c>
      <c r="AA15" s="42">
        <v>165483</v>
      </c>
      <c r="AB15" s="41">
        <v>277756</v>
      </c>
      <c r="AC15" s="41">
        <v>353594</v>
      </c>
      <c r="AD15" s="12"/>
      <c r="AE15" s="42">
        <v>46500</v>
      </c>
      <c r="AF15" s="42">
        <v>200290</v>
      </c>
      <c r="AG15" s="42">
        <v>299309</v>
      </c>
      <c r="AH15" s="42">
        <v>537651</v>
      </c>
      <c r="AI15" s="12"/>
      <c r="AJ15" s="42">
        <v>110661.95477839952</v>
      </c>
      <c r="AK15" s="42">
        <v>151502</v>
      </c>
      <c r="AL15" s="42">
        <v>313228</v>
      </c>
      <c r="AM15" s="42">
        <v>441690</v>
      </c>
      <c r="AN15" s="12"/>
      <c r="AO15" s="42">
        <v>185904</v>
      </c>
      <c r="AP15" s="42">
        <v>564518</v>
      </c>
      <c r="AQ15" s="42">
        <f>AQ9+AQ10</f>
        <v>905720</v>
      </c>
      <c r="AR15" s="42">
        <f>AR9+AR10</f>
        <v>1245298</v>
      </c>
      <c r="AS15" s="12"/>
      <c r="AT15" s="42">
        <f>AT9+AT10</f>
        <v>136937</v>
      </c>
      <c r="AU15" s="42">
        <f>AU9+AU10</f>
        <v>437854</v>
      </c>
      <c r="AV15" s="42">
        <f>AV9+AV10</f>
        <v>441601</v>
      </c>
      <c r="AW15" s="42">
        <v>538988</v>
      </c>
      <c r="AY15" s="42">
        <f>AY9+AY10</f>
        <v>102614</v>
      </c>
      <c r="AZ15" s="42">
        <f>AZ9+AZ10</f>
        <v>261057</v>
      </c>
      <c r="BA15" s="42"/>
      <c r="BB15" s="42"/>
    </row>
    <row r="16" spans="2:54" x14ac:dyDescent="0.25">
      <c r="B16" s="10" t="s">
        <v>87</v>
      </c>
      <c r="C16" s="41">
        <v>-22115</v>
      </c>
      <c r="D16" s="41">
        <v>-18347</v>
      </c>
      <c r="E16" s="41">
        <v>-36963</v>
      </c>
      <c r="F16" s="41">
        <v>-42068</v>
      </c>
      <c r="G16" s="41">
        <v>-77137</v>
      </c>
      <c r="H16" s="41">
        <v>-28956</v>
      </c>
      <c r="I16" s="41">
        <v>-46555</v>
      </c>
      <c r="J16" s="10"/>
      <c r="K16" s="42">
        <v>-12656</v>
      </c>
      <c r="L16" s="42">
        <v>-39683</v>
      </c>
      <c r="M16" s="42">
        <v>-56514</v>
      </c>
      <c r="N16" s="42">
        <v>-40205</v>
      </c>
      <c r="O16" s="12"/>
      <c r="P16" s="42">
        <v>-2653</v>
      </c>
      <c r="Q16" s="42">
        <v>6708</v>
      </c>
      <c r="R16" s="42">
        <v>-4321</v>
      </c>
      <c r="S16" s="42">
        <v>-23394</v>
      </c>
      <c r="T16" s="12"/>
      <c r="U16" s="42">
        <v>-21470</v>
      </c>
      <c r="V16" s="42">
        <v>-59367</v>
      </c>
      <c r="W16" s="42">
        <v>-46607</v>
      </c>
      <c r="X16" s="42">
        <v>-73492</v>
      </c>
      <c r="Y16" s="12"/>
      <c r="Z16" s="42">
        <v>-5085</v>
      </c>
      <c r="AA16" s="42">
        <v>19382</v>
      </c>
      <c r="AB16" s="41">
        <v>4074</v>
      </c>
      <c r="AC16" s="41">
        <v>26243</v>
      </c>
      <c r="AD16" s="12"/>
      <c r="AE16" s="42">
        <v>5764</v>
      </c>
      <c r="AF16" s="42">
        <v>12162</v>
      </c>
      <c r="AG16" s="42">
        <v>14742</v>
      </c>
      <c r="AH16" s="42">
        <v>2670</v>
      </c>
      <c r="AI16" s="12"/>
      <c r="AJ16" s="42">
        <v>-16454.875640000006</v>
      </c>
      <c r="AK16" s="42">
        <v>675</v>
      </c>
      <c r="AL16" s="42">
        <v>-45733</v>
      </c>
      <c r="AM16" s="42">
        <v>-12970</v>
      </c>
      <c r="AN16" s="12"/>
      <c r="AO16" s="42">
        <v>-9064</v>
      </c>
      <c r="AP16" s="43">
        <v>-171169</v>
      </c>
      <c r="AQ16" s="43">
        <f>SUM(AQ17:AQ18)</f>
        <v>-57818</v>
      </c>
      <c r="AR16" s="43">
        <f>SUM(AR17:AR18)</f>
        <v>-244272</v>
      </c>
      <c r="AS16" s="10"/>
      <c r="AT16" s="43">
        <f>SUM(AT17:AT18)</f>
        <v>111585</v>
      </c>
      <c r="AU16" s="43">
        <f>SUM(AU17:AU18)</f>
        <v>261816</v>
      </c>
      <c r="AV16" s="43">
        <f>SUM(AV17:AV18)</f>
        <v>511023</v>
      </c>
      <c r="AW16" s="42">
        <v>497036</v>
      </c>
      <c r="AY16" s="42">
        <f>AY17+AY18</f>
        <v>-10399</v>
      </c>
      <c r="AZ16" s="42">
        <f>AZ17+AZ18</f>
        <v>58726</v>
      </c>
      <c r="BA16" s="42"/>
      <c r="BB16" s="42"/>
    </row>
    <row r="17" spans="2:54" x14ac:dyDescent="0.25">
      <c r="B17" s="13" t="s">
        <v>313</v>
      </c>
      <c r="C17" s="44">
        <v>27695</v>
      </c>
      <c r="D17" s="44">
        <v>43560</v>
      </c>
      <c r="E17" s="44">
        <v>45048</v>
      </c>
      <c r="F17" s="44">
        <v>60297</v>
      </c>
      <c r="G17" s="44">
        <v>47607</v>
      </c>
      <c r="H17" s="44">
        <v>52415</v>
      </c>
      <c r="I17" s="44">
        <v>37152</v>
      </c>
      <c r="J17" s="13"/>
      <c r="K17" s="45">
        <v>7604</v>
      </c>
      <c r="L17" s="45">
        <v>34350</v>
      </c>
      <c r="M17" s="45">
        <v>41230</v>
      </c>
      <c r="N17" s="45">
        <v>49390</v>
      </c>
      <c r="O17" s="26"/>
      <c r="P17" s="45">
        <v>17030</v>
      </c>
      <c r="Q17" s="45">
        <v>43603</v>
      </c>
      <c r="R17" s="45">
        <v>67903</v>
      </c>
      <c r="S17" s="45">
        <v>73083</v>
      </c>
      <c r="T17" s="26"/>
      <c r="U17" s="45">
        <v>32403</v>
      </c>
      <c r="V17" s="45">
        <v>58015</v>
      </c>
      <c r="W17" s="45">
        <v>105107</v>
      </c>
      <c r="X17" s="45">
        <v>118480</v>
      </c>
      <c r="Y17" s="26"/>
      <c r="Z17" s="45">
        <v>30470</v>
      </c>
      <c r="AA17" s="45">
        <v>103135</v>
      </c>
      <c r="AB17" s="44">
        <v>155766</v>
      </c>
      <c r="AC17" s="44">
        <v>207769</v>
      </c>
      <c r="AD17" s="26"/>
      <c r="AE17" s="45">
        <v>80077</v>
      </c>
      <c r="AF17" s="45">
        <v>191917</v>
      </c>
      <c r="AG17" s="45">
        <v>255181</v>
      </c>
      <c r="AH17" s="45">
        <v>318952</v>
      </c>
      <c r="AI17" s="26"/>
      <c r="AJ17" s="45">
        <v>62275</v>
      </c>
      <c r="AK17" s="45">
        <v>176059</v>
      </c>
      <c r="AL17" s="45">
        <v>272012</v>
      </c>
      <c r="AM17" s="45">
        <v>382546</v>
      </c>
      <c r="AN17" s="26"/>
      <c r="AO17" s="45">
        <v>90811</v>
      </c>
      <c r="AP17" s="46">
        <v>247900</v>
      </c>
      <c r="AQ17" s="148">
        <v>212677</v>
      </c>
      <c r="AR17" s="46">
        <v>762260</v>
      </c>
      <c r="AS17" s="13"/>
      <c r="AT17" s="46">
        <v>331660</v>
      </c>
      <c r="AU17" s="46">
        <v>587915</v>
      </c>
      <c r="AV17" s="46">
        <v>837030</v>
      </c>
      <c r="AW17" s="45">
        <v>855886</v>
      </c>
      <c r="AY17" s="45">
        <v>252742</v>
      </c>
      <c r="AZ17" s="46">
        <v>387634</v>
      </c>
      <c r="BA17" s="45"/>
      <c r="BB17" s="45"/>
    </row>
    <row r="18" spans="2:54" x14ac:dyDescent="0.25">
      <c r="B18" s="13" t="s">
        <v>314</v>
      </c>
      <c r="C18" s="44">
        <v>-49810</v>
      </c>
      <c r="D18" s="44">
        <v>-61907</v>
      </c>
      <c r="E18" s="44">
        <v>-82011</v>
      </c>
      <c r="F18" s="44">
        <v>-102365</v>
      </c>
      <c r="G18" s="44">
        <v>-124744</v>
      </c>
      <c r="H18" s="44">
        <v>-81371</v>
      </c>
      <c r="I18" s="44">
        <v>-83707</v>
      </c>
      <c r="J18" s="13"/>
      <c r="K18" s="45">
        <v>-20260</v>
      </c>
      <c r="L18" s="45">
        <v>-74033</v>
      </c>
      <c r="M18" s="45">
        <v>-97744</v>
      </c>
      <c r="N18" s="45">
        <v>-89595</v>
      </c>
      <c r="O18" s="26"/>
      <c r="P18" s="45">
        <v>-19683</v>
      </c>
      <c r="Q18" s="45">
        <v>-36895</v>
      </c>
      <c r="R18" s="45">
        <v>-72224</v>
      </c>
      <c r="S18" s="45">
        <v>-96477</v>
      </c>
      <c r="T18" s="26"/>
      <c r="U18" s="45">
        <v>-53873</v>
      </c>
      <c r="V18" s="45">
        <v>-117382</v>
      </c>
      <c r="W18" s="45">
        <v>-151714</v>
      </c>
      <c r="X18" s="45">
        <v>-191972</v>
      </c>
      <c r="Y18" s="26"/>
      <c r="Z18" s="45">
        <v>-35555</v>
      </c>
      <c r="AA18" s="45">
        <v>-83753</v>
      </c>
      <c r="AB18" s="44">
        <v>-151692</v>
      </c>
      <c r="AC18" s="44">
        <v>-181526</v>
      </c>
      <c r="AD18" s="26"/>
      <c r="AE18" s="45">
        <v>-74313</v>
      </c>
      <c r="AF18" s="45">
        <v>-179755</v>
      </c>
      <c r="AG18" s="45">
        <v>-240439</v>
      </c>
      <c r="AH18" s="45">
        <v>-316282</v>
      </c>
      <c r="AI18" s="26"/>
      <c r="AJ18" s="45">
        <v>-78730.386510000011</v>
      </c>
      <c r="AK18" s="45">
        <v>-175384</v>
      </c>
      <c r="AL18" s="45">
        <v>-317745</v>
      </c>
      <c r="AM18" s="45">
        <v>-395516</v>
      </c>
      <c r="AN18" s="26"/>
      <c r="AO18" s="45">
        <v>-99875</v>
      </c>
      <c r="AP18" s="46">
        <v>-419069</v>
      </c>
      <c r="AQ18" s="46">
        <v>-270495</v>
      </c>
      <c r="AR18" s="46">
        <v>-1006532</v>
      </c>
      <c r="AS18" s="13"/>
      <c r="AT18" s="46">
        <v>-220075</v>
      </c>
      <c r="AU18" s="46">
        <v>-326099</v>
      </c>
      <c r="AV18" s="46">
        <v>-326007</v>
      </c>
      <c r="AW18" s="45">
        <v>-358850</v>
      </c>
      <c r="AY18" s="45">
        <v>-263141</v>
      </c>
      <c r="AZ18" s="46">
        <v>-328908</v>
      </c>
      <c r="BA18" s="45"/>
      <c r="BB18" s="45"/>
    </row>
    <row r="19" spans="2:54" x14ac:dyDescent="0.25">
      <c r="B19" s="50" t="s">
        <v>88</v>
      </c>
      <c r="C19" s="41">
        <v>14429</v>
      </c>
      <c r="D19" s="41">
        <v>15406</v>
      </c>
      <c r="E19" s="41">
        <v>14100</v>
      </c>
      <c r="F19" s="41">
        <v>36990</v>
      </c>
      <c r="G19" s="41">
        <v>16002</v>
      </c>
      <c r="H19" s="41">
        <v>40941</v>
      </c>
      <c r="I19" s="41">
        <v>27312</v>
      </c>
      <c r="J19" s="50"/>
      <c r="K19" s="42">
        <v>19770</v>
      </c>
      <c r="L19" s="42">
        <v>48967</v>
      </c>
      <c r="M19" s="42">
        <v>71517</v>
      </c>
      <c r="N19" s="42">
        <v>138021</v>
      </c>
      <c r="O19" s="51"/>
      <c r="P19" s="42">
        <v>14903</v>
      </c>
      <c r="Q19" s="42">
        <v>40446</v>
      </c>
      <c r="R19" s="42">
        <v>71954</v>
      </c>
      <c r="S19" s="42">
        <v>149424</v>
      </c>
      <c r="T19" s="51"/>
      <c r="U19" s="42">
        <v>7109</v>
      </c>
      <c r="V19" s="42">
        <v>42751</v>
      </c>
      <c r="W19" s="42">
        <v>182084</v>
      </c>
      <c r="X19" s="42">
        <v>322303</v>
      </c>
      <c r="Y19" s="51"/>
      <c r="Z19" s="42">
        <v>44889</v>
      </c>
      <c r="AA19" s="42">
        <v>184865</v>
      </c>
      <c r="AB19" s="41">
        <v>281830</v>
      </c>
      <c r="AC19" s="41">
        <v>379837</v>
      </c>
      <c r="AD19" s="51"/>
      <c r="AE19" s="42">
        <v>52264</v>
      </c>
      <c r="AF19" s="42">
        <v>212452</v>
      </c>
      <c r="AG19" s="42">
        <v>314051</v>
      </c>
      <c r="AH19" s="42">
        <v>540321</v>
      </c>
      <c r="AI19" s="51"/>
      <c r="AJ19" s="42">
        <v>94207.079138399509</v>
      </c>
      <c r="AK19" s="42">
        <v>152177</v>
      </c>
      <c r="AL19" s="42">
        <v>267495</v>
      </c>
      <c r="AM19" s="42">
        <v>428720</v>
      </c>
      <c r="AN19" s="51"/>
      <c r="AO19" s="42">
        <v>176840</v>
      </c>
      <c r="AP19" s="43">
        <v>393349</v>
      </c>
      <c r="AQ19" s="43">
        <f>AQ15+AQ16</f>
        <v>847902</v>
      </c>
      <c r="AR19" s="43">
        <f>AR15+AR16</f>
        <v>1001026</v>
      </c>
      <c r="AS19" s="50"/>
      <c r="AT19" s="43">
        <f>AT15+AT16</f>
        <v>248522</v>
      </c>
      <c r="AU19" s="43">
        <f>AU15+AU16</f>
        <v>699670</v>
      </c>
      <c r="AV19" s="43">
        <f>AV15+AV16</f>
        <v>952624</v>
      </c>
      <c r="AW19" s="42">
        <v>1036024</v>
      </c>
      <c r="AY19" s="42">
        <f>AY15+AY16</f>
        <v>92215</v>
      </c>
      <c r="AZ19" s="42">
        <f>AZ15+AZ16</f>
        <v>319783</v>
      </c>
      <c r="BA19" s="42"/>
      <c r="BB19" s="42"/>
    </row>
    <row r="20" spans="2:54" x14ac:dyDescent="0.25">
      <c r="B20" s="50" t="s">
        <v>89</v>
      </c>
      <c r="C20" s="41">
        <v>-3294</v>
      </c>
      <c r="D20" s="41">
        <v>-2242</v>
      </c>
      <c r="E20" s="41">
        <v>-2022</v>
      </c>
      <c r="F20" s="41">
        <v>-12469</v>
      </c>
      <c r="G20" s="41">
        <v>-3772</v>
      </c>
      <c r="H20" s="41">
        <v>-16017</v>
      </c>
      <c r="I20" s="41">
        <v>21168</v>
      </c>
      <c r="J20" s="50"/>
      <c r="K20" s="52">
        <v>0</v>
      </c>
      <c r="L20" s="52">
        <v>0</v>
      </c>
      <c r="M20" s="52">
        <v>0</v>
      </c>
      <c r="N20" s="42">
        <v>5572</v>
      </c>
      <c r="O20" s="51"/>
      <c r="P20" s="52">
        <v>0</v>
      </c>
      <c r="Q20" s="42">
        <v>-7163</v>
      </c>
      <c r="R20" s="52">
        <v>-4846</v>
      </c>
      <c r="S20" s="42">
        <v>-7913</v>
      </c>
      <c r="T20" s="51"/>
      <c r="U20" s="42">
        <v>2585</v>
      </c>
      <c r="V20" s="42">
        <v>1401</v>
      </c>
      <c r="W20" s="42">
        <v>-13599</v>
      </c>
      <c r="X20" s="42">
        <v>-29056</v>
      </c>
      <c r="Y20" s="51"/>
      <c r="Z20" s="42">
        <v>6150</v>
      </c>
      <c r="AA20" s="42">
        <v>-19550</v>
      </c>
      <c r="AB20" s="43">
        <v>-18580</v>
      </c>
      <c r="AC20" s="43">
        <v>50469</v>
      </c>
      <c r="AD20" s="51"/>
      <c r="AE20" s="42">
        <v>4518</v>
      </c>
      <c r="AF20" s="42">
        <v>-34448</v>
      </c>
      <c r="AG20" s="42">
        <v>33113</v>
      </c>
      <c r="AH20" s="42">
        <v>30853</v>
      </c>
      <c r="AI20" s="51"/>
      <c r="AJ20" s="42">
        <v>9132.1157700000003</v>
      </c>
      <c r="AK20" s="42">
        <v>28111</v>
      </c>
      <c r="AL20" s="42">
        <v>130658</v>
      </c>
      <c r="AM20" s="42">
        <v>145082</v>
      </c>
      <c r="AN20" s="51"/>
      <c r="AO20" s="42">
        <v>-20402</v>
      </c>
      <c r="AP20" s="43">
        <v>-91267</v>
      </c>
      <c r="AQ20" s="43">
        <f>SUM(AQ21:AQ22)</f>
        <v>-227445</v>
      </c>
      <c r="AR20" s="43">
        <f>SUM(AR21:AR22)</f>
        <v>-244661</v>
      </c>
      <c r="AS20" s="50"/>
      <c r="AT20" s="43">
        <f>SUM(AT21:AT22)</f>
        <v>-56103</v>
      </c>
      <c r="AU20" s="43">
        <f>SUM(AU21:AU22)</f>
        <v>-176404</v>
      </c>
      <c r="AV20" s="43">
        <f>SUM(AV21:AV22)</f>
        <v>-226314</v>
      </c>
      <c r="AW20" s="42">
        <v>-227325</v>
      </c>
      <c r="AY20" s="42">
        <f>AY21+AY22</f>
        <v>-7040</v>
      </c>
      <c r="AZ20" s="42">
        <f>AZ21+AZ22</f>
        <v>-28720</v>
      </c>
      <c r="BA20" s="42"/>
      <c r="BB20" s="42"/>
    </row>
    <row r="21" spans="2:54" x14ac:dyDescent="0.25">
      <c r="B21" s="13" t="s">
        <v>90</v>
      </c>
      <c r="C21" s="45">
        <v>-3294</v>
      </c>
      <c r="D21" s="45">
        <v>-3312</v>
      </c>
      <c r="E21" s="45">
        <v>-1993</v>
      </c>
      <c r="F21" s="45">
        <v>-14065</v>
      </c>
      <c r="G21" s="44">
        <v>-4069</v>
      </c>
      <c r="H21" s="44">
        <v>-16338</v>
      </c>
      <c r="I21" s="44">
        <v>20388</v>
      </c>
      <c r="J21" s="13"/>
      <c r="K21" s="27">
        <v>0</v>
      </c>
      <c r="L21" s="27">
        <v>0</v>
      </c>
      <c r="M21" s="27">
        <v>0</v>
      </c>
      <c r="N21" s="45">
        <v>-7669</v>
      </c>
      <c r="O21" s="26"/>
      <c r="P21" s="27">
        <v>0</v>
      </c>
      <c r="Q21" s="45">
        <v>0</v>
      </c>
      <c r="R21" s="27">
        <v>0</v>
      </c>
      <c r="S21" s="45">
        <v>-1297</v>
      </c>
      <c r="T21" s="26"/>
      <c r="U21" s="27">
        <v>0</v>
      </c>
      <c r="V21" s="27">
        <v>0</v>
      </c>
      <c r="W21" s="27">
        <v>-2844</v>
      </c>
      <c r="X21" s="45">
        <v>-24491</v>
      </c>
      <c r="Y21" s="26"/>
      <c r="Z21" s="27">
        <v>0</v>
      </c>
      <c r="AA21" s="45">
        <v>-16655</v>
      </c>
      <c r="AB21" s="46">
        <v>-5989</v>
      </c>
      <c r="AC21" s="46">
        <v>-17791</v>
      </c>
      <c r="AD21" s="26"/>
      <c r="AE21" s="46">
        <v>-13109</v>
      </c>
      <c r="AF21" s="46">
        <v>-27668</v>
      </c>
      <c r="AG21" s="46">
        <v>-4</v>
      </c>
      <c r="AH21" s="46">
        <v>-154</v>
      </c>
      <c r="AI21" s="26"/>
      <c r="AJ21" s="46">
        <v>-37.767669999999995</v>
      </c>
      <c r="AK21" s="46">
        <v>-1937</v>
      </c>
      <c r="AL21" s="46">
        <v>-3744</v>
      </c>
      <c r="AM21" s="46">
        <v>-5388</v>
      </c>
      <c r="AN21" s="26"/>
      <c r="AO21" s="46">
        <v>-4152</v>
      </c>
      <c r="AP21" s="46">
        <v>-10572</v>
      </c>
      <c r="AQ21" s="46">
        <v>-44660</v>
      </c>
      <c r="AR21" s="46">
        <v>-138855</v>
      </c>
      <c r="AS21" s="13"/>
      <c r="AT21" s="46">
        <v>-1092</v>
      </c>
      <c r="AU21" s="46">
        <v>-5881</v>
      </c>
      <c r="AV21" s="46">
        <v>-81009</v>
      </c>
      <c r="AW21" s="46">
        <v>-132865</v>
      </c>
      <c r="AY21" s="46">
        <v>-58047</v>
      </c>
      <c r="AZ21" s="46">
        <v>-29058</v>
      </c>
      <c r="BA21" s="46"/>
      <c r="BB21" s="46"/>
    </row>
    <row r="22" spans="2:54" x14ac:dyDescent="0.25">
      <c r="B22" s="13" t="s">
        <v>91</v>
      </c>
      <c r="C22" s="45">
        <v>0</v>
      </c>
      <c r="D22" s="45">
        <v>1070</v>
      </c>
      <c r="E22" s="45">
        <v>-29</v>
      </c>
      <c r="F22" s="45">
        <v>1596</v>
      </c>
      <c r="G22" s="44">
        <v>297</v>
      </c>
      <c r="H22" s="44">
        <v>321</v>
      </c>
      <c r="I22" s="44">
        <v>780</v>
      </c>
      <c r="J22" s="13"/>
      <c r="K22" s="27">
        <v>0</v>
      </c>
      <c r="L22" s="27">
        <v>0</v>
      </c>
      <c r="M22" s="27">
        <v>0</v>
      </c>
      <c r="N22" s="45">
        <v>13241</v>
      </c>
      <c r="O22" s="26"/>
      <c r="P22" s="27">
        <v>0</v>
      </c>
      <c r="Q22" s="45">
        <v>-7163</v>
      </c>
      <c r="R22" s="27">
        <v>-4846</v>
      </c>
      <c r="S22" s="45">
        <v>-6616</v>
      </c>
      <c r="T22" s="26"/>
      <c r="U22" s="45">
        <v>2585</v>
      </c>
      <c r="V22" s="45">
        <v>1401</v>
      </c>
      <c r="W22" s="45">
        <v>-10755</v>
      </c>
      <c r="X22" s="45">
        <v>-4565</v>
      </c>
      <c r="Y22" s="26"/>
      <c r="Z22" s="45">
        <v>6150</v>
      </c>
      <c r="AA22" s="45">
        <v>-2895</v>
      </c>
      <c r="AB22" s="46">
        <v>-12591</v>
      </c>
      <c r="AC22" s="46">
        <v>68260</v>
      </c>
      <c r="AD22" s="26"/>
      <c r="AE22" s="45">
        <v>17627</v>
      </c>
      <c r="AF22" s="45">
        <v>-6780</v>
      </c>
      <c r="AG22" s="45">
        <v>33117</v>
      </c>
      <c r="AH22" s="45">
        <v>31007</v>
      </c>
      <c r="AI22" s="26"/>
      <c r="AJ22" s="45">
        <v>9169.8834399999996</v>
      </c>
      <c r="AK22" s="45">
        <v>30048</v>
      </c>
      <c r="AL22" s="45">
        <v>134402</v>
      </c>
      <c r="AM22" s="45">
        <v>150470</v>
      </c>
      <c r="AN22" s="26"/>
      <c r="AO22" s="45">
        <v>-16250</v>
      </c>
      <c r="AP22" s="45">
        <v>-80695</v>
      </c>
      <c r="AQ22" s="45">
        <v>-182785</v>
      </c>
      <c r="AR22" s="45">
        <v>-105806</v>
      </c>
      <c r="AS22" s="26"/>
      <c r="AT22" s="45">
        <v>-55011</v>
      </c>
      <c r="AU22" s="45">
        <v>-170523</v>
      </c>
      <c r="AV22" s="45">
        <v>-145305</v>
      </c>
      <c r="AW22" s="45">
        <v>-94460</v>
      </c>
      <c r="AY22" s="45">
        <v>51007</v>
      </c>
      <c r="AZ22" s="45">
        <v>338</v>
      </c>
      <c r="BA22" s="45"/>
      <c r="BB22" s="45"/>
    </row>
    <row r="23" spans="2:54" x14ac:dyDescent="0.25">
      <c r="B23" s="10" t="s">
        <v>92</v>
      </c>
      <c r="C23" s="41">
        <v>11135</v>
      </c>
      <c r="D23" s="41">
        <v>13164</v>
      </c>
      <c r="E23" s="41">
        <v>12078</v>
      </c>
      <c r="F23" s="41">
        <v>24521</v>
      </c>
      <c r="G23" s="41">
        <v>12230</v>
      </c>
      <c r="H23" s="41">
        <v>24924</v>
      </c>
      <c r="I23" s="41">
        <v>48480</v>
      </c>
      <c r="J23" s="10"/>
      <c r="K23" s="42">
        <v>19770</v>
      </c>
      <c r="L23" s="42">
        <v>48967</v>
      </c>
      <c r="M23" s="42">
        <v>71517</v>
      </c>
      <c r="N23" s="42">
        <v>143593</v>
      </c>
      <c r="O23" s="12"/>
      <c r="P23" s="42">
        <v>14903</v>
      </c>
      <c r="Q23" s="42">
        <v>33283</v>
      </c>
      <c r="R23" s="42">
        <v>67108</v>
      </c>
      <c r="S23" s="42">
        <v>141511</v>
      </c>
      <c r="T23" s="12"/>
      <c r="U23" s="42">
        <v>9694</v>
      </c>
      <c r="V23" s="42">
        <v>44152</v>
      </c>
      <c r="W23" s="42">
        <v>168485</v>
      </c>
      <c r="X23" s="42">
        <v>293247</v>
      </c>
      <c r="Y23" s="12"/>
      <c r="Z23" s="42">
        <v>51039</v>
      </c>
      <c r="AA23" s="42">
        <v>165315</v>
      </c>
      <c r="AB23" s="43">
        <v>263250</v>
      </c>
      <c r="AC23" s="43">
        <v>430306</v>
      </c>
      <c r="AD23" s="12"/>
      <c r="AE23" s="42">
        <v>56782</v>
      </c>
      <c r="AF23" s="42">
        <v>178004</v>
      </c>
      <c r="AG23" s="42">
        <v>347164</v>
      </c>
      <c r="AH23" s="42">
        <v>571174</v>
      </c>
      <c r="AI23" s="12"/>
      <c r="AJ23" s="42">
        <v>103339.19490839951</v>
      </c>
      <c r="AK23" s="42">
        <v>180288</v>
      </c>
      <c r="AL23" s="42">
        <v>398153</v>
      </c>
      <c r="AM23" s="42">
        <v>573802</v>
      </c>
      <c r="AN23" s="12"/>
      <c r="AO23" s="42">
        <v>156438</v>
      </c>
      <c r="AP23" s="42">
        <v>302082</v>
      </c>
      <c r="AQ23" s="42">
        <f>AQ19+AQ20</f>
        <v>620457</v>
      </c>
      <c r="AR23" s="42">
        <f>AR19+AR20</f>
        <v>756365</v>
      </c>
      <c r="AS23" s="12"/>
      <c r="AT23" s="42">
        <f>AT19+AT20</f>
        <v>192419</v>
      </c>
      <c r="AU23" s="42">
        <f>AU19+AU20</f>
        <v>523266</v>
      </c>
      <c r="AV23" s="42">
        <f>AV19+AV20</f>
        <v>726310</v>
      </c>
      <c r="AW23" s="42">
        <v>808699</v>
      </c>
      <c r="AY23" s="42">
        <f>AY19+AY20</f>
        <v>85175</v>
      </c>
      <c r="AZ23" s="42">
        <f>AZ19+AZ20</f>
        <v>291063</v>
      </c>
      <c r="BA23" s="42"/>
      <c r="BB23" s="42"/>
    </row>
    <row r="24" spans="2:54" x14ac:dyDescent="0.25">
      <c r="B24" s="1" t="s">
        <v>303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>
        <v>8.0000000000000002E-3</v>
      </c>
      <c r="V24" s="22">
        <v>9.7900000000000001E-2</v>
      </c>
      <c r="W24" s="22">
        <v>0.34570000000000001</v>
      </c>
      <c r="X24" s="22">
        <v>0.63009999999999999</v>
      </c>
      <c r="Y24" s="22"/>
      <c r="Z24" s="22">
        <v>0.12759999999999999</v>
      </c>
      <c r="AA24" s="22">
        <v>0.4133</v>
      </c>
      <c r="AB24" s="1">
        <v>0.61270000000000002</v>
      </c>
      <c r="AC24" s="1">
        <v>0.96499999999999997</v>
      </c>
      <c r="AD24" s="22"/>
      <c r="AE24" s="22">
        <v>0.1148</v>
      </c>
      <c r="AF24" s="22">
        <v>0.35931000000000002</v>
      </c>
      <c r="AG24" s="22">
        <v>0.70038</v>
      </c>
      <c r="AH24" s="22">
        <v>1.15194</v>
      </c>
      <c r="AI24" s="22"/>
      <c r="AJ24" s="22">
        <v>0.20780000000000001</v>
      </c>
      <c r="AK24" s="22">
        <v>0.36220999999999998</v>
      </c>
      <c r="AL24" s="22">
        <v>0.79961000000000004</v>
      </c>
      <c r="AM24" s="22">
        <v>1.1521600000000001</v>
      </c>
      <c r="AN24" s="22"/>
      <c r="AO24" s="22">
        <v>0.31394</v>
      </c>
      <c r="AP24" s="22">
        <v>0.60623000000000005</v>
      </c>
      <c r="AQ24" s="22">
        <v>1.24515</v>
      </c>
      <c r="AR24" s="22">
        <v>1.5179</v>
      </c>
      <c r="AS24" s="22"/>
      <c r="AT24" s="22">
        <v>0.38614999999999999</v>
      </c>
      <c r="AU24" s="22">
        <v>1.0498000000000001</v>
      </c>
      <c r="AV24" s="22">
        <v>1.4561200000000001</v>
      </c>
      <c r="AW24" s="22">
        <v>1.6212599999999999</v>
      </c>
      <c r="AY24" s="22">
        <v>0.17049</v>
      </c>
      <c r="AZ24" s="22">
        <v>0.58194000000000001</v>
      </c>
      <c r="BA24" s="22"/>
      <c r="BB24" s="22"/>
    </row>
    <row r="25" spans="2:54" x14ac:dyDescent="0.25">
      <c r="B25" s="53" t="s">
        <v>93</v>
      </c>
      <c r="C25" s="44">
        <v>3584</v>
      </c>
      <c r="D25" s="44">
        <v>2011</v>
      </c>
      <c r="E25" s="44">
        <v>5922</v>
      </c>
      <c r="F25" s="44">
        <v>10106</v>
      </c>
      <c r="G25" s="44">
        <v>10954</v>
      </c>
      <c r="H25" s="44">
        <v>10471</v>
      </c>
      <c r="I25" s="44">
        <v>10901</v>
      </c>
      <c r="J25" s="53"/>
      <c r="K25" s="27">
        <v>0</v>
      </c>
      <c r="L25" s="27">
        <v>0</v>
      </c>
      <c r="M25" s="27">
        <v>0</v>
      </c>
      <c r="N25" s="45">
        <v>12692</v>
      </c>
      <c r="O25" s="54"/>
      <c r="P25" s="45">
        <v>287</v>
      </c>
      <c r="Q25" s="45">
        <v>683</v>
      </c>
      <c r="R25" s="27">
        <v>1154</v>
      </c>
      <c r="S25" s="45">
        <v>16788</v>
      </c>
      <c r="T25" s="54"/>
      <c r="U25" s="45">
        <v>5947</v>
      </c>
      <c r="V25" s="45">
        <v>11053</v>
      </c>
      <c r="W25" s="45">
        <v>16018</v>
      </c>
      <c r="X25" s="45">
        <v>21642</v>
      </c>
      <c r="Y25" s="54"/>
      <c r="Z25" s="45">
        <v>5759</v>
      </c>
      <c r="AA25" s="45">
        <v>12589</v>
      </c>
      <c r="AB25" s="44">
        <v>19752</v>
      </c>
      <c r="AC25" s="44">
        <v>27464</v>
      </c>
      <c r="AD25" s="54"/>
      <c r="AE25" s="45">
        <v>8060</v>
      </c>
      <c r="AF25" s="45">
        <v>16944.926189999998</v>
      </c>
      <c r="AG25" s="45">
        <v>26914</v>
      </c>
      <c r="AH25" s="45">
        <v>37746</v>
      </c>
      <c r="AI25" s="54"/>
      <c r="AJ25" s="45">
        <v>11823</v>
      </c>
      <c r="AK25" s="45">
        <v>24489</v>
      </c>
      <c r="AL25" s="45">
        <v>40451</v>
      </c>
      <c r="AM25" s="45">
        <v>57597</v>
      </c>
      <c r="AN25" s="54"/>
      <c r="AO25" s="45">
        <v>22867</v>
      </c>
      <c r="AP25" s="45">
        <v>44785</v>
      </c>
      <c r="AQ25" s="45">
        <v>68980</v>
      </c>
      <c r="AR25" s="45">
        <v>95363</v>
      </c>
      <c r="AS25" s="54"/>
      <c r="AT25" s="45">
        <v>27784</v>
      </c>
      <c r="AU25" s="45">
        <v>57020</v>
      </c>
      <c r="AV25" s="148">
        <v>87270</v>
      </c>
      <c r="AW25" s="45">
        <v>119388</v>
      </c>
      <c r="AY25" s="45">
        <v>36099</v>
      </c>
      <c r="AZ25" s="45">
        <v>82252</v>
      </c>
      <c r="BA25" s="45"/>
      <c r="BB25" s="45"/>
    </row>
    <row r="26" spans="2:54" x14ac:dyDescent="0.25">
      <c r="B26" s="53"/>
      <c r="C26" s="44"/>
      <c r="D26" s="44"/>
      <c r="E26" s="44"/>
      <c r="F26" s="44"/>
      <c r="G26" s="44"/>
      <c r="H26" s="44"/>
      <c r="I26" s="44"/>
      <c r="J26" s="53"/>
      <c r="K26" s="45"/>
      <c r="L26" s="45"/>
      <c r="M26" s="45"/>
      <c r="N26" s="45"/>
      <c r="O26" s="54"/>
      <c r="P26" s="45"/>
      <c r="Q26" s="45"/>
      <c r="R26" s="45"/>
      <c r="S26" s="45"/>
      <c r="T26" s="54"/>
      <c r="U26" s="45"/>
      <c r="V26" s="45"/>
      <c r="W26" s="45"/>
      <c r="X26" s="45"/>
      <c r="Y26" s="54"/>
      <c r="Z26" s="45"/>
      <c r="AA26" s="45"/>
      <c r="AB26" s="44"/>
      <c r="AC26" s="44"/>
      <c r="AD26" s="54"/>
      <c r="AE26" s="45"/>
      <c r="AF26" s="45"/>
      <c r="AG26" s="45"/>
      <c r="AH26" s="45"/>
      <c r="AI26" s="54"/>
      <c r="AJ26" s="45"/>
      <c r="AK26" s="45"/>
      <c r="AL26" s="45"/>
      <c r="AM26" s="45"/>
      <c r="AN26" s="54"/>
      <c r="AO26" s="45"/>
      <c r="AP26" s="45"/>
      <c r="AQ26" s="45"/>
      <c r="AR26" s="45"/>
      <c r="AS26" s="54"/>
      <c r="AT26" s="45"/>
      <c r="AU26" s="45"/>
      <c r="AV26" s="45"/>
      <c r="AW26" s="45"/>
      <c r="AY26" s="45"/>
      <c r="AZ26" s="45"/>
      <c r="BA26" s="45"/>
      <c r="BB26" s="45"/>
    </row>
    <row r="27" spans="2:54" x14ac:dyDescent="0.25">
      <c r="B27" s="10" t="s">
        <v>196</v>
      </c>
      <c r="C27" s="41">
        <v>40128</v>
      </c>
      <c r="D27" s="41">
        <v>35764</v>
      </c>
      <c r="E27" s="41">
        <v>56985</v>
      </c>
      <c r="F27" s="41">
        <v>89164</v>
      </c>
      <c r="G27" s="41">
        <v>104093</v>
      </c>
      <c r="H27" s="41">
        <v>80368</v>
      </c>
      <c r="I27" s="41">
        <v>84768</v>
      </c>
      <c r="J27" s="10"/>
      <c r="K27" s="42">
        <v>32426</v>
      </c>
      <c r="L27" s="42">
        <v>88651</v>
      </c>
      <c r="M27" s="42">
        <v>128031</v>
      </c>
      <c r="N27" s="42">
        <v>190918</v>
      </c>
      <c r="O27" s="12"/>
      <c r="P27" s="42">
        <v>17843</v>
      </c>
      <c r="Q27" s="42">
        <v>34421</v>
      </c>
      <c r="R27" s="42">
        <v>76997</v>
      </c>
      <c r="S27" s="42">
        <v>189605</v>
      </c>
      <c r="T27" s="12"/>
      <c r="U27" s="42">
        <v>34526</v>
      </c>
      <c r="V27" s="42">
        <v>113171</v>
      </c>
      <c r="W27" s="42">
        <v>244709</v>
      </c>
      <c r="X27" s="42">
        <v>417437</v>
      </c>
      <c r="Y27" s="12"/>
      <c r="Z27" s="42">
        <v>55733</v>
      </c>
      <c r="AA27" s="42">
        <v>178072</v>
      </c>
      <c r="AB27" s="41">
        <v>297508</v>
      </c>
      <c r="AC27" s="41">
        <v>381058</v>
      </c>
      <c r="AD27" s="12"/>
      <c r="AE27" s="42">
        <v>54560</v>
      </c>
      <c r="AF27" s="42">
        <v>217234.92619</v>
      </c>
      <c r="AG27" s="42">
        <v>326223</v>
      </c>
      <c r="AH27" s="42">
        <v>575397</v>
      </c>
      <c r="AI27" s="12"/>
      <c r="AJ27" s="42">
        <v>122484.95477839952</v>
      </c>
      <c r="AK27" s="42">
        <v>175991</v>
      </c>
      <c r="AL27" s="42">
        <v>353679</v>
      </c>
      <c r="AM27" s="42">
        <v>499287</v>
      </c>
      <c r="AN27" s="12"/>
      <c r="AO27" s="42">
        <v>208771</v>
      </c>
      <c r="AP27" s="42">
        <f>AP15+AP25</f>
        <v>609303</v>
      </c>
      <c r="AQ27" s="42">
        <v>974700</v>
      </c>
      <c r="AR27" s="42">
        <v>1340661</v>
      </c>
      <c r="AS27" s="12"/>
      <c r="AT27" s="42">
        <v>164721</v>
      </c>
      <c r="AU27" s="41">
        <f>AU15+AU25</f>
        <v>494874</v>
      </c>
      <c r="AV27" s="41">
        <f>AV15+AV25</f>
        <v>528871</v>
      </c>
      <c r="AW27" s="42">
        <v>658376</v>
      </c>
      <c r="AY27" s="42">
        <f>AY15+AY25</f>
        <v>138713</v>
      </c>
      <c r="AZ27" s="42">
        <f>AZ15+AZ25</f>
        <v>343309</v>
      </c>
      <c r="BA27" s="42"/>
      <c r="BB27" s="42"/>
    </row>
    <row r="28" spans="2:54" x14ac:dyDescent="0.25">
      <c r="B28" s="10" t="s">
        <v>94</v>
      </c>
      <c r="C28" s="42">
        <v>5149</v>
      </c>
      <c r="D28" s="42">
        <v>-3180</v>
      </c>
      <c r="E28" s="42">
        <v>4945</v>
      </c>
      <c r="F28" s="42">
        <v>-8658</v>
      </c>
      <c r="G28" s="42">
        <v>-7623</v>
      </c>
      <c r="H28" s="42">
        <v>-13966</v>
      </c>
      <c r="I28" s="42">
        <v>7988</v>
      </c>
      <c r="J28" s="10"/>
      <c r="K28" s="27">
        <v>0</v>
      </c>
      <c r="L28" s="27">
        <v>0</v>
      </c>
      <c r="M28" s="27">
        <v>0</v>
      </c>
      <c r="N28" s="42">
        <v>-32535</v>
      </c>
      <c r="O28" s="12"/>
      <c r="P28" s="42">
        <v>-1450</v>
      </c>
      <c r="Q28" s="42">
        <v>3464</v>
      </c>
      <c r="R28" s="27">
        <v>-722</v>
      </c>
      <c r="S28" s="42">
        <v>-328</v>
      </c>
      <c r="T28" s="12"/>
      <c r="U28" s="42">
        <v>-8426</v>
      </c>
      <c r="V28" s="42">
        <v>13058</v>
      </c>
      <c r="W28" s="42">
        <v>28036</v>
      </c>
      <c r="X28" s="42">
        <v>15823</v>
      </c>
      <c r="Y28" s="12"/>
      <c r="Z28" s="42">
        <v>-14653</v>
      </c>
      <c r="AA28" s="42">
        <v>7974</v>
      </c>
      <c r="AB28" s="41">
        <v>-20147</v>
      </c>
      <c r="AC28" s="41">
        <v>-113871</v>
      </c>
      <c r="AD28" s="12"/>
      <c r="AE28" s="42">
        <v>-41559</v>
      </c>
      <c r="AF28" s="42">
        <v>24030</v>
      </c>
      <c r="AG28" s="42">
        <v>-2157.03977999996</v>
      </c>
      <c r="AH28" s="42">
        <v>-47700</v>
      </c>
      <c r="AI28" s="12"/>
      <c r="AJ28" s="42">
        <v>14754.7783</v>
      </c>
      <c r="AK28" s="42">
        <v>24409</v>
      </c>
      <c r="AL28" s="42">
        <v>85750</v>
      </c>
      <c r="AM28" s="42">
        <v>15872</v>
      </c>
      <c r="AN28" s="12"/>
      <c r="AO28" s="42">
        <v>70920</v>
      </c>
      <c r="AP28" s="42">
        <v>388046</v>
      </c>
      <c r="AQ28" s="42">
        <v>411414</v>
      </c>
      <c r="AR28" s="42">
        <v>367063.08755999996</v>
      </c>
      <c r="AS28" s="12"/>
      <c r="AT28" s="42">
        <v>-124148.87530999997</v>
      </c>
      <c r="AU28" s="42">
        <v>23617</v>
      </c>
      <c r="AV28" s="42">
        <v>-108670</v>
      </c>
      <c r="AW28" s="42">
        <v>-60460</v>
      </c>
      <c r="AY28" s="42">
        <v>-157124</v>
      </c>
      <c r="AZ28" s="42">
        <v>108606</v>
      </c>
      <c r="BA28" s="42"/>
      <c r="BB28" s="42"/>
    </row>
    <row r="29" spans="2:54" x14ac:dyDescent="0.25">
      <c r="B29" s="10" t="s">
        <v>224</v>
      </c>
      <c r="C29" s="41">
        <v>34979</v>
      </c>
      <c r="D29" s="41">
        <v>38944</v>
      </c>
      <c r="E29" s="41">
        <v>52040</v>
      </c>
      <c r="F29" s="41">
        <v>97822</v>
      </c>
      <c r="G29" s="41">
        <v>111716</v>
      </c>
      <c r="H29" s="41">
        <v>94334</v>
      </c>
      <c r="I29" s="41">
        <v>76780</v>
      </c>
      <c r="J29" s="10"/>
      <c r="K29" s="42">
        <v>32426</v>
      </c>
      <c r="L29" s="42">
        <v>88651</v>
      </c>
      <c r="M29" s="42">
        <v>128031</v>
      </c>
      <c r="N29" s="42">
        <v>223453</v>
      </c>
      <c r="O29" s="12"/>
      <c r="P29" s="42">
        <v>19293</v>
      </c>
      <c r="Q29" s="42">
        <v>30957</v>
      </c>
      <c r="R29" s="42">
        <v>76997</v>
      </c>
      <c r="S29" s="42">
        <v>189934</v>
      </c>
      <c r="T29" s="12"/>
      <c r="U29" s="42">
        <v>42952</v>
      </c>
      <c r="V29" s="42">
        <v>100113</v>
      </c>
      <c r="W29" s="42">
        <v>216673</v>
      </c>
      <c r="X29" s="42">
        <v>401614</v>
      </c>
      <c r="Y29" s="12"/>
      <c r="Z29" s="42">
        <v>70386</v>
      </c>
      <c r="AA29" s="42">
        <v>170098</v>
      </c>
      <c r="AB29" s="41">
        <v>317655</v>
      </c>
      <c r="AC29" s="41">
        <v>494929</v>
      </c>
      <c r="AD29" s="12"/>
      <c r="AE29" s="42">
        <v>96119</v>
      </c>
      <c r="AF29" s="42">
        <v>193204.92619</v>
      </c>
      <c r="AG29" s="42">
        <v>328380.03977999993</v>
      </c>
      <c r="AH29" s="42">
        <v>623097</v>
      </c>
      <c r="AI29" s="12"/>
      <c r="AJ29" s="42">
        <v>107730.17647839952</v>
      </c>
      <c r="AK29" s="42">
        <v>151582</v>
      </c>
      <c r="AL29" s="42">
        <v>267929</v>
      </c>
      <c r="AM29" s="42">
        <v>483415</v>
      </c>
      <c r="AN29" s="12"/>
      <c r="AO29" s="42">
        <v>137851</v>
      </c>
      <c r="AP29" s="42">
        <f>AP27-AP28</f>
        <v>221257</v>
      </c>
      <c r="AQ29" s="42">
        <v>563286</v>
      </c>
      <c r="AR29" s="42">
        <v>973597.9124400001</v>
      </c>
      <c r="AS29" s="12"/>
      <c r="AT29" s="42">
        <v>288869.87530999997</v>
      </c>
      <c r="AU29" s="41">
        <f>AU27-AU28</f>
        <v>471257</v>
      </c>
      <c r="AV29" s="41">
        <f>AV27-AV28</f>
        <v>637541</v>
      </c>
      <c r="AW29" s="42">
        <v>718836</v>
      </c>
      <c r="AY29" s="42">
        <f>AY27-AY28</f>
        <v>295837</v>
      </c>
      <c r="AZ29" s="42">
        <f>AZ27-AZ28</f>
        <v>234703</v>
      </c>
      <c r="BA29" s="42"/>
      <c r="BB29" s="42"/>
    </row>
    <row r="30" spans="2:54" x14ac:dyDescent="0.25">
      <c r="B30" s="10"/>
      <c r="C30" s="41"/>
      <c r="D30" s="41"/>
      <c r="E30" s="41"/>
      <c r="F30" s="41"/>
      <c r="G30" s="41"/>
      <c r="H30" s="41"/>
      <c r="I30" s="41"/>
      <c r="J30" s="10"/>
      <c r="K30" s="42"/>
      <c r="L30" s="42"/>
      <c r="M30" s="42"/>
      <c r="N30" s="42"/>
      <c r="O30" s="12"/>
      <c r="P30" s="42"/>
      <c r="Q30" s="42"/>
      <c r="R30" s="42"/>
      <c r="S30" s="42"/>
      <c r="T30" s="12"/>
      <c r="U30" s="42"/>
      <c r="V30" s="42"/>
      <c r="W30" s="42"/>
      <c r="X30" s="42"/>
      <c r="Y30" s="12"/>
      <c r="Z30" s="42"/>
      <c r="AA30" s="42"/>
      <c r="AB30" s="41"/>
      <c r="AC30" s="41"/>
      <c r="AD30" s="12"/>
      <c r="AE30" s="42"/>
      <c r="AF30" s="42"/>
      <c r="AG30" s="42"/>
      <c r="AH30" s="42"/>
      <c r="AI30" s="12"/>
      <c r="AJ30" s="42"/>
      <c r="AK30" s="42"/>
      <c r="AL30" s="42"/>
      <c r="AM30" s="42"/>
      <c r="AN30" s="12"/>
      <c r="AO30" s="42"/>
      <c r="AP30" s="42"/>
      <c r="AQ30" s="42"/>
      <c r="AR30" s="42"/>
      <c r="AS30" s="12"/>
      <c r="AT30" s="42"/>
      <c r="AU30" s="42"/>
      <c r="AV30" s="42"/>
      <c r="AW30" s="42"/>
    </row>
    <row r="31" spans="2:54" x14ac:dyDescent="0.25">
      <c r="B31" s="10"/>
      <c r="C31" s="55"/>
      <c r="D31" s="55"/>
      <c r="E31" s="55"/>
      <c r="F31" s="14"/>
      <c r="G31" s="14"/>
      <c r="H31" s="14"/>
      <c r="I31" s="14"/>
      <c r="J31" s="10"/>
      <c r="K31" s="55"/>
      <c r="L31" s="55"/>
      <c r="M31" s="55"/>
      <c r="N31" s="55"/>
      <c r="O31" s="10"/>
      <c r="P31" s="55"/>
      <c r="Q31" s="55"/>
      <c r="R31" s="55"/>
      <c r="S31" s="55"/>
      <c r="T31" s="10"/>
      <c r="U31" s="55"/>
      <c r="V31" s="55"/>
      <c r="W31" s="55"/>
      <c r="X31" s="55"/>
      <c r="Y31" s="10"/>
      <c r="Z31" s="56"/>
      <c r="AA31" s="56"/>
      <c r="AB31" s="56"/>
      <c r="AC31" s="56"/>
      <c r="AD31" s="10"/>
      <c r="AE31" s="56"/>
      <c r="AF31" s="56"/>
      <c r="AG31" s="56"/>
      <c r="AH31" s="56"/>
      <c r="AI31" s="10"/>
      <c r="AJ31" s="56"/>
      <c r="AK31" s="56"/>
      <c r="AL31" s="56"/>
      <c r="AN31" s="10"/>
      <c r="AO31" s="56"/>
      <c r="AP31" s="56"/>
      <c r="AQ31" s="56"/>
      <c r="AS31" s="10"/>
      <c r="AT31" s="56"/>
      <c r="AU31" s="56"/>
      <c r="AV31" s="56"/>
    </row>
    <row r="32" spans="2:54" x14ac:dyDescent="0.25">
      <c r="C32" s="35"/>
      <c r="D32" s="35"/>
      <c r="E32" s="35"/>
      <c r="F32" s="35"/>
      <c r="G32" s="35"/>
      <c r="H32" s="35"/>
      <c r="I32" s="35"/>
    </row>
    <row r="33" spans="3:9" x14ac:dyDescent="0.25">
      <c r="C33" s="35"/>
      <c r="D33" s="35"/>
      <c r="E33" s="35"/>
      <c r="F33" s="35"/>
      <c r="G33" s="35"/>
      <c r="H33" s="35"/>
      <c r="I33" s="35"/>
    </row>
    <row r="34" spans="3:9" x14ac:dyDescent="0.25">
      <c r="C34" s="35"/>
      <c r="D34" s="35"/>
      <c r="E34" s="35"/>
      <c r="F34" s="35"/>
      <c r="G34" s="35"/>
      <c r="H34" s="35"/>
      <c r="I34" s="35"/>
    </row>
    <row r="35" spans="3:9" x14ac:dyDescent="0.25">
      <c r="C35" s="35"/>
      <c r="D35" s="35"/>
      <c r="E35" s="35"/>
      <c r="F35" s="35"/>
      <c r="G35" s="35"/>
      <c r="H35" s="35"/>
      <c r="I35" s="35"/>
    </row>
    <row r="36" spans="3:9" x14ac:dyDescent="0.25">
      <c r="C36" s="35"/>
      <c r="D36" s="35"/>
      <c r="E36" s="35"/>
      <c r="F36" s="35"/>
      <c r="G36" s="35"/>
      <c r="H36" s="35"/>
      <c r="I36" s="35"/>
    </row>
  </sheetData>
  <phoneticPr fontId="21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68A17-7AB9-4F99-A267-86E57147BA01}">
  <sheetPr>
    <tabColor theme="4" tint="0.39997558519241921"/>
  </sheetPr>
  <dimension ref="B1:AT29"/>
  <sheetViews>
    <sheetView showGridLines="0" zoomScaleNormal="100" workbookViewId="0">
      <pane xSplit="2" ySplit="5" topLeftCell="AD6" activePane="bottomRight" state="frozen"/>
      <selection pane="topRight" activeCell="C1" sqref="C1"/>
      <selection pane="bottomLeft" activeCell="A7" sqref="A7"/>
      <selection pane="bottomRight" activeCell="AN16" sqref="AN16"/>
    </sheetView>
  </sheetViews>
  <sheetFormatPr defaultColWidth="9.109375" defaultRowHeight="13.2" x14ac:dyDescent="0.25"/>
  <cols>
    <col min="1" max="1" width="1.44140625" style="1" customWidth="1"/>
    <col min="2" max="2" width="54.6640625" style="1" customWidth="1"/>
    <col min="3" max="6" width="12.6640625" style="1" customWidth="1"/>
    <col min="7" max="7" width="2.6640625" style="1" customWidth="1"/>
    <col min="8" max="11" width="12.6640625" style="1" customWidth="1"/>
    <col min="12" max="12" width="2.6640625" style="1" customWidth="1"/>
    <col min="13" max="16" width="12.6640625" style="1" customWidth="1"/>
    <col min="17" max="17" width="2.6640625" style="1" customWidth="1"/>
    <col min="18" max="21" width="12.6640625" style="1" customWidth="1"/>
    <col min="22" max="22" width="2.6640625" style="1" customWidth="1"/>
    <col min="23" max="26" width="12.6640625" style="1" customWidth="1"/>
    <col min="27" max="27" width="2.6640625" style="1" customWidth="1"/>
    <col min="28" max="31" width="12.6640625" style="1" customWidth="1"/>
    <col min="32" max="32" width="2.6640625" style="1" customWidth="1"/>
    <col min="33" max="36" width="12.6640625" style="1" customWidth="1"/>
    <col min="37" max="37" width="2.6640625" style="1" customWidth="1"/>
    <col min="38" max="41" width="12.6640625" style="1" customWidth="1"/>
    <col min="42" max="42" width="2.6640625" style="1" customWidth="1"/>
    <col min="43" max="46" width="12.6640625" style="1" customWidth="1"/>
    <col min="47" max="16384" width="9.109375" style="1"/>
  </cols>
  <sheetData>
    <row r="1" spans="2:46" x14ac:dyDescent="0.25">
      <c r="B1" s="37"/>
      <c r="G1" s="37"/>
      <c r="L1" s="37"/>
      <c r="Q1" s="37"/>
      <c r="V1" s="37"/>
      <c r="AA1" s="37"/>
      <c r="AF1" s="37"/>
      <c r="AK1" s="37"/>
    </row>
    <row r="2" spans="2:46" x14ac:dyDescent="0.25">
      <c r="B2" s="2"/>
      <c r="C2" s="123">
        <v>2018</v>
      </c>
      <c r="D2" s="123"/>
      <c r="E2" s="123"/>
      <c r="F2" s="123"/>
      <c r="G2" s="2"/>
      <c r="H2" s="123">
        <v>2019</v>
      </c>
      <c r="I2" s="123"/>
      <c r="J2" s="123"/>
      <c r="K2" s="123"/>
      <c r="L2" s="2"/>
      <c r="M2" s="123">
        <v>2020</v>
      </c>
      <c r="N2" s="123"/>
      <c r="O2" s="123"/>
      <c r="P2" s="123"/>
      <c r="Q2" s="2"/>
      <c r="R2" s="123">
        <v>2021</v>
      </c>
      <c r="S2" s="123"/>
      <c r="T2" s="123"/>
      <c r="U2" s="123"/>
      <c r="V2" s="2"/>
      <c r="W2" s="123">
        <v>2022</v>
      </c>
      <c r="X2" s="123"/>
      <c r="Y2" s="123"/>
      <c r="Z2" s="123"/>
      <c r="AA2" s="2"/>
      <c r="AB2" s="123">
        <v>2023</v>
      </c>
      <c r="AC2" s="123"/>
      <c r="AD2" s="123"/>
      <c r="AE2" s="123"/>
      <c r="AF2" s="2"/>
      <c r="AG2" s="123">
        <v>2024</v>
      </c>
      <c r="AH2" s="123"/>
      <c r="AI2" s="123"/>
      <c r="AJ2" s="123"/>
      <c r="AK2" s="2"/>
      <c r="AL2" s="123">
        <v>2025</v>
      </c>
      <c r="AM2" s="123"/>
      <c r="AN2" s="123"/>
      <c r="AO2" s="123"/>
      <c r="AQ2" s="123">
        <v>2026</v>
      </c>
      <c r="AR2" s="123"/>
      <c r="AS2" s="123"/>
      <c r="AT2" s="123"/>
    </row>
    <row r="3" spans="2:46" x14ac:dyDescent="0.25">
      <c r="B3" s="2"/>
      <c r="C3" s="4" t="s">
        <v>95</v>
      </c>
      <c r="D3" s="4" t="s">
        <v>96</v>
      </c>
      <c r="E3" s="4" t="s">
        <v>97</v>
      </c>
      <c r="F3" s="4" t="s">
        <v>98</v>
      </c>
      <c r="G3" s="2"/>
      <c r="H3" s="4" t="s">
        <v>99</v>
      </c>
      <c r="I3" s="4" t="s">
        <v>100</v>
      </c>
      <c r="J3" s="4" t="s">
        <v>101</v>
      </c>
      <c r="K3" s="4" t="s">
        <v>102</v>
      </c>
      <c r="L3" s="2"/>
      <c r="M3" s="4" t="s">
        <v>103</v>
      </c>
      <c r="N3" s="4" t="s">
        <v>104</v>
      </c>
      <c r="O3" s="4" t="s">
        <v>105</v>
      </c>
      <c r="P3" s="4" t="s">
        <v>106</v>
      </c>
      <c r="Q3" s="2"/>
      <c r="R3" s="4" t="s">
        <v>107</v>
      </c>
      <c r="S3" s="4" t="s">
        <v>108</v>
      </c>
      <c r="T3" s="4" t="s">
        <v>109</v>
      </c>
      <c r="U3" s="4" t="s">
        <v>223</v>
      </c>
      <c r="V3" s="2"/>
      <c r="W3" s="4" t="s">
        <v>229</v>
      </c>
      <c r="X3" s="4" t="s">
        <v>233</v>
      </c>
      <c r="Y3" s="4" t="s">
        <v>236</v>
      </c>
      <c r="Z3" s="4" t="s">
        <v>242</v>
      </c>
      <c r="AA3" s="2"/>
      <c r="AB3" s="4" t="s">
        <v>244</v>
      </c>
      <c r="AC3" s="4" t="s">
        <v>253</v>
      </c>
      <c r="AD3" s="4" t="s">
        <v>254</v>
      </c>
      <c r="AE3" s="4" t="s">
        <v>255</v>
      </c>
      <c r="AF3" s="2"/>
      <c r="AG3" s="4" t="s">
        <v>272</v>
      </c>
      <c r="AH3" s="4" t="s">
        <v>273</v>
      </c>
      <c r="AI3" s="4" t="s">
        <v>274</v>
      </c>
      <c r="AJ3" s="4" t="s">
        <v>275</v>
      </c>
      <c r="AK3" s="2"/>
      <c r="AL3" s="4" t="s">
        <v>289</v>
      </c>
      <c r="AM3" s="4" t="s">
        <v>290</v>
      </c>
      <c r="AN3" s="4" t="s">
        <v>291</v>
      </c>
      <c r="AO3" s="4" t="s">
        <v>292</v>
      </c>
      <c r="AQ3" s="4" t="s">
        <v>338</v>
      </c>
      <c r="AR3" s="4" t="s">
        <v>339</v>
      </c>
      <c r="AS3" s="4" t="s">
        <v>340</v>
      </c>
      <c r="AT3" s="4" t="s">
        <v>341</v>
      </c>
    </row>
    <row r="4" spans="2:46" x14ac:dyDescent="0.25">
      <c r="B4" s="2"/>
      <c r="C4" s="38">
        <f>COLUMN()</f>
        <v>3</v>
      </c>
      <c r="D4" s="38">
        <f>COLUMN()</f>
        <v>4</v>
      </c>
      <c r="E4" s="38">
        <f>COLUMN()</f>
        <v>5</v>
      </c>
      <c r="F4" s="38">
        <f>COLUMN()</f>
        <v>6</v>
      </c>
      <c r="G4" s="38">
        <f>COLUMN()</f>
        <v>7</v>
      </c>
      <c r="H4" s="38">
        <f>COLUMN()</f>
        <v>8</v>
      </c>
      <c r="I4" s="38">
        <f>COLUMN()</f>
        <v>9</v>
      </c>
      <c r="J4" s="38">
        <f>COLUMN()</f>
        <v>10</v>
      </c>
      <c r="K4" s="38">
        <f>COLUMN()</f>
        <v>11</v>
      </c>
      <c r="L4" s="38">
        <f>COLUMN()</f>
        <v>12</v>
      </c>
      <c r="M4" s="38">
        <f>COLUMN()</f>
        <v>13</v>
      </c>
      <c r="N4" s="38">
        <f>COLUMN()</f>
        <v>14</v>
      </c>
      <c r="O4" s="38">
        <f>COLUMN()</f>
        <v>15</v>
      </c>
      <c r="P4" s="38">
        <f>COLUMN()</f>
        <v>16</v>
      </c>
      <c r="Q4" s="38">
        <f>COLUMN()</f>
        <v>17</v>
      </c>
      <c r="R4" s="38">
        <f>COLUMN()</f>
        <v>18</v>
      </c>
      <c r="S4" s="38">
        <f>COLUMN()</f>
        <v>19</v>
      </c>
      <c r="T4" s="38">
        <f>COLUMN()</f>
        <v>20</v>
      </c>
      <c r="U4" s="38">
        <f>COLUMN()</f>
        <v>21</v>
      </c>
      <c r="V4" s="38">
        <f>COLUMN()</f>
        <v>22</v>
      </c>
      <c r="W4" s="38">
        <f>COLUMN()</f>
        <v>23</v>
      </c>
      <c r="X4" s="38">
        <f>COLUMN()</f>
        <v>24</v>
      </c>
      <c r="Y4" s="38">
        <f>COLUMN()</f>
        <v>25</v>
      </c>
      <c r="Z4" s="38">
        <f>COLUMN()</f>
        <v>26</v>
      </c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Q4" s="2"/>
      <c r="AR4" s="2"/>
      <c r="AS4" s="2"/>
      <c r="AT4" s="2"/>
    </row>
    <row r="5" spans="2:46" ht="15" customHeight="1" thickBot="1" x14ac:dyDescent="0.3">
      <c r="B5" s="36" t="s">
        <v>78</v>
      </c>
      <c r="C5" s="39">
        <v>43190</v>
      </c>
      <c r="D5" s="39">
        <v>43281</v>
      </c>
      <c r="E5" s="39">
        <v>43373</v>
      </c>
      <c r="F5" s="39">
        <v>43465</v>
      </c>
      <c r="G5" s="36"/>
      <c r="H5" s="39">
        <v>43555</v>
      </c>
      <c r="I5" s="39">
        <v>43646</v>
      </c>
      <c r="J5" s="39">
        <v>43738</v>
      </c>
      <c r="K5" s="39">
        <v>43830</v>
      </c>
      <c r="L5" s="36"/>
      <c r="M5" s="39">
        <v>43921</v>
      </c>
      <c r="N5" s="39">
        <v>44012</v>
      </c>
      <c r="O5" s="39">
        <v>44104</v>
      </c>
      <c r="P5" s="39">
        <v>44196</v>
      </c>
      <c r="Q5" s="36"/>
      <c r="R5" s="39">
        <v>44286</v>
      </c>
      <c r="S5" s="39">
        <v>44377</v>
      </c>
      <c r="T5" s="39">
        <v>44469</v>
      </c>
      <c r="U5" s="39">
        <v>44561</v>
      </c>
      <c r="V5" s="36"/>
      <c r="W5" s="39">
        <v>44651</v>
      </c>
      <c r="X5" s="39">
        <v>44742</v>
      </c>
      <c r="Y5" s="39">
        <v>44834</v>
      </c>
      <c r="Z5" s="39">
        <v>44926</v>
      </c>
      <c r="AA5" s="36"/>
      <c r="AB5" s="39">
        <v>45016</v>
      </c>
      <c r="AC5" s="39">
        <v>45107</v>
      </c>
      <c r="AD5" s="39">
        <v>45199</v>
      </c>
      <c r="AE5" s="39">
        <v>45291</v>
      </c>
      <c r="AF5" s="36"/>
      <c r="AG5" s="39">
        <v>45382</v>
      </c>
      <c r="AH5" s="39">
        <v>45473</v>
      </c>
      <c r="AI5" s="39">
        <v>45565</v>
      </c>
      <c r="AJ5" s="39">
        <v>45657</v>
      </c>
      <c r="AK5" s="36"/>
      <c r="AL5" s="39">
        <v>45747</v>
      </c>
      <c r="AM5" s="39">
        <v>45838</v>
      </c>
      <c r="AN5" s="39">
        <v>45930</v>
      </c>
      <c r="AO5" s="39">
        <v>46022</v>
      </c>
      <c r="AQ5" s="7">
        <v>46112</v>
      </c>
      <c r="AR5" s="7">
        <v>46203</v>
      </c>
      <c r="AS5" s="7">
        <v>46295</v>
      </c>
      <c r="AT5" s="7">
        <v>46387</v>
      </c>
    </row>
    <row r="6" spans="2:46" ht="13.8" thickTop="1" x14ac:dyDescent="0.25">
      <c r="B6" s="29"/>
      <c r="C6" s="40"/>
      <c r="D6" s="40"/>
      <c r="E6" s="40"/>
      <c r="F6" s="40"/>
      <c r="G6" s="29"/>
      <c r="H6" s="40"/>
      <c r="I6" s="40"/>
      <c r="J6" s="40"/>
      <c r="K6" s="40"/>
      <c r="L6" s="29"/>
      <c r="M6" s="40"/>
      <c r="N6" s="40"/>
      <c r="O6" s="40"/>
      <c r="P6" s="40"/>
      <c r="Q6" s="29"/>
      <c r="R6" s="40"/>
      <c r="S6" s="40"/>
      <c r="T6" s="40"/>
      <c r="U6" s="40"/>
      <c r="V6" s="29"/>
      <c r="W6" s="40"/>
      <c r="X6" s="40"/>
      <c r="Y6" s="40"/>
      <c r="Z6" s="40"/>
      <c r="AA6" s="29"/>
      <c r="AB6" s="40"/>
      <c r="AC6" s="40"/>
      <c r="AD6" s="40"/>
      <c r="AE6" s="40"/>
      <c r="AF6" s="29"/>
      <c r="AG6" s="40"/>
      <c r="AH6" s="40"/>
      <c r="AI6" s="40"/>
      <c r="AJ6" s="40"/>
      <c r="AK6" s="29"/>
      <c r="AL6" s="40"/>
      <c r="AM6" s="40"/>
      <c r="AN6" s="40"/>
      <c r="AO6" s="40"/>
    </row>
    <row r="7" spans="2:46" x14ac:dyDescent="0.25">
      <c r="B7" s="10" t="s">
        <v>79</v>
      </c>
      <c r="C7" s="41">
        <f>DRE_ACM!K7</f>
        <v>334635</v>
      </c>
      <c r="D7" s="41">
        <f>DRE_ACM!L7-DRE_ACM!K7</f>
        <v>469200</v>
      </c>
      <c r="E7" s="41">
        <f>DRE_ACM!M7-DRE_ACM!L7</f>
        <v>530206</v>
      </c>
      <c r="F7" s="41">
        <f>DRE_ACM!N7-DRE_ACM!M7</f>
        <v>587533</v>
      </c>
      <c r="G7" s="10"/>
      <c r="H7" s="41">
        <f>DRE_ACM!P7</f>
        <v>448708</v>
      </c>
      <c r="I7" s="41">
        <f>DRE_ACM!Q7-DRE_ACM!P7</f>
        <v>512004</v>
      </c>
      <c r="J7" s="41">
        <f>DRE_ACM!R7-DRE_ACM!Q7</f>
        <v>592358</v>
      </c>
      <c r="K7" s="41">
        <f>DRE_ACM!S7-DRE_ACM!R7</f>
        <v>686503</v>
      </c>
      <c r="L7" s="10"/>
      <c r="M7" s="41">
        <f>DRE_ACM!U7</f>
        <v>513864</v>
      </c>
      <c r="N7" s="41">
        <f>DRE_ACM!V7-DRE_ACM!U7</f>
        <v>740467</v>
      </c>
      <c r="O7" s="41">
        <f>DRE_ACM!W7-DRE_ACM!V7</f>
        <v>848033</v>
      </c>
      <c r="P7" s="41">
        <f>DRE_ACM!X7-DRE_ACM!W7</f>
        <v>1008043</v>
      </c>
      <c r="Q7" s="10"/>
      <c r="R7" s="41">
        <f>DRE_ACM!Z7</f>
        <v>769273</v>
      </c>
      <c r="S7" s="41">
        <f>DRE_ACM!AA7-DRE_ACM!Z7</f>
        <v>1205380</v>
      </c>
      <c r="T7" s="41">
        <f>DRE_ACM!AB7-DRE_ACM!AA7</f>
        <v>1729545</v>
      </c>
      <c r="U7" s="41">
        <f>DRE_ACM!AC7-DRE_ACM!AB7</f>
        <v>1635119</v>
      </c>
      <c r="V7" s="10"/>
      <c r="W7" s="41">
        <f>DRE_ACM!AE7</f>
        <v>1273235</v>
      </c>
      <c r="X7" s="41">
        <f>DRE_ACM!AF7-DRE_ACM!AE7</f>
        <v>1497303</v>
      </c>
      <c r="Y7" s="41">
        <f>DRE_ACM!AG7-DRE_ACM!AF7</f>
        <v>1958912</v>
      </c>
      <c r="Z7" s="41">
        <f>DRE_ACM!AH7-DRE_ACM!AG7</f>
        <v>2156389</v>
      </c>
      <c r="AA7" s="10"/>
      <c r="AB7" s="41">
        <v>1804695.8304899998</v>
      </c>
      <c r="AC7" s="41">
        <f>DRE_ACM!AK7-DRE_ACM!AJ7</f>
        <v>1760359.1695100002</v>
      </c>
      <c r="AD7" s="41">
        <f>DRE_ACM!AL7-DRE_ACM!AK7</f>
        <v>2404340</v>
      </c>
      <c r="AE7" s="41">
        <f>DRE_ACM!AM7-DRE_ACM!AL7</f>
        <v>3029590</v>
      </c>
      <c r="AF7" s="10"/>
      <c r="AG7" s="41">
        <v>2679222</v>
      </c>
      <c r="AH7" s="41">
        <f>DRE_ACM!AP7-DRE_ACM!AO7</f>
        <v>2796469</v>
      </c>
      <c r="AI7" s="41">
        <f>DRE_ACM!AQ7-DRE_ACM!AP7</f>
        <v>3496560</v>
      </c>
      <c r="AJ7" s="41">
        <f>DRE_ACM!AR7-DRE_ACM!AQ7</f>
        <v>3853520</v>
      </c>
      <c r="AK7" s="10"/>
      <c r="AL7" s="41">
        <f>DRE_ACM!AT7-DRE_ACM!AS7</f>
        <v>3499108</v>
      </c>
      <c r="AM7" s="41">
        <f>DRE_ACM!AU7-DRE_ACM!AT7</f>
        <v>3562877</v>
      </c>
      <c r="AN7" s="41">
        <f>DRE_ACM!AV7-DRE_ACM!AU7</f>
        <v>4994879</v>
      </c>
      <c r="AO7" s="41">
        <f>DRE_ACM!AW7-DRE_ACM!AV7</f>
        <v>4366830</v>
      </c>
      <c r="AQ7" s="41">
        <f>DRE_ACM!AY7-DRE_ACM!AX7</f>
        <v>4206948</v>
      </c>
      <c r="AR7" s="41">
        <f>DRE_ACM!AZ7-DRE_ACM!AY7</f>
        <v>4700400</v>
      </c>
    </row>
    <row r="8" spans="2:46" x14ac:dyDescent="0.25">
      <c r="B8" s="13" t="s">
        <v>302</v>
      </c>
      <c r="C8" s="44">
        <f>DRE_ACM!K8</f>
        <v>-276066</v>
      </c>
      <c r="D8" s="44">
        <f>DRE_ACM!L8-DRE_ACM!K8</f>
        <v>-373095</v>
      </c>
      <c r="E8" s="44">
        <f>DRE_ACM!M8-DRE_ACM!L8</f>
        <v>-450791</v>
      </c>
      <c r="F8" s="44">
        <f>DRE_ACM!N8-DRE_ACM!M8</f>
        <v>-486264</v>
      </c>
      <c r="G8" s="13"/>
      <c r="H8" s="44">
        <f>DRE_ACM!P8</f>
        <v>-394538</v>
      </c>
      <c r="I8" s="44">
        <f>DRE_ACM!Q8-DRE_ACM!P8</f>
        <v>-455523</v>
      </c>
      <c r="J8" s="44">
        <f>DRE_ACM!R8-DRE_ACM!Q8</f>
        <v>-487275</v>
      </c>
      <c r="K8" s="44">
        <f>DRE_ACM!S8-DRE_ACM!R8</f>
        <v>-539260</v>
      </c>
      <c r="L8" s="13"/>
      <c r="M8" s="44">
        <f>DRE_ACM!U8</f>
        <v>-445610</v>
      </c>
      <c r="N8" s="44">
        <f>DRE_ACM!V8-DRE_ACM!U8</f>
        <v>-611240</v>
      </c>
      <c r="O8" s="44">
        <f>DRE_ACM!W8-DRE_ACM!V8</f>
        <v>-651921</v>
      </c>
      <c r="P8" s="44">
        <f>DRE_ACM!X8-DRE_ACM!W8</f>
        <v>-806429</v>
      </c>
      <c r="Q8" s="13"/>
      <c r="R8" s="44">
        <f>DRE_ACM!Z8</f>
        <v>-662028</v>
      </c>
      <c r="S8" s="44">
        <f>DRE_ACM!AA8-DRE_ACM!Z8</f>
        <v>-1019842</v>
      </c>
      <c r="T8" s="44">
        <f>DRE_ACM!AB8-DRE_ACM!AA8</f>
        <v>-1516545</v>
      </c>
      <c r="U8" s="44">
        <f>DRE_ACM!AC8-DRE_ACM!AB8</f>
        <v>-1439848</v>
      </c>
      <c r="V8" s="13"/>
      <c r="W8" s="44">
        <f>DRE_ACM!AE8</f>
        <v>-1115042</v>
      </c>
      <c r="X8" s="44">
        <f>DRE_ACM!AF8-DRE_ACM!AE8</f>
        <v>-1244211</v>
      </c>
      <c r="Y8" s="44">
        <f>DRE_ACM!AG8-DRE_ACM!AF8</f>
        <v>-1717678</v>
      </c>
      <c r="Z8" s="44">
        <f>DRE_ACM!AH8-DRE_ACM!AG8</f>
        <v>-1765609</v>
      </c>
      <c r="AA8" s="13"/>
      <c r="AB8" s="44">
        <v>-1544539.8846200004</v>
      </c>
      <c r="AC8" s="44">
        <f>DRE_ACM!AK8-DRE_ACM!AJ8</f>
        <v>-1576111.1153799996</v>
      </c>
      <c r="AD8" s="44">
        <f>DRE_ACM!AL8-DRE_ACM!AK8</f>
        <v>-2029466</v>
      </c>
      <c r="AE8" s="44">
        <f>DRE_ACM!AM8-DRE_ACM!AL8</f>
        <v>-2602862</v>
      </c>
      <c r="AF8" s="13"/>
      <c r="AG8" s="44">
        <v>-2178441</v>
      </c>
      <c r="AH8" s="44">
        <f>DRE_ACM!AP8-DRE_ACM!AO8</f>
        <v>-2080269</v>
      </c>
      <c r="AI8" s="44">
        <f>DRE_ACM!AQ8-DRE_ACM!AP8</f>
        <v>-2866006</v>
      </c>
      <c r="AJ8" s="44">
        <f>DRE_ACM!AR8-DRE_ACM!AQ8</f>
        <v>-3169552</v>
      </c>
      <c r="AK8" s="13"/>
      <c r="AL8" s="44">
        <f>DRE_ACM!AT8-DRE_ACM!AS8</f>
        <v>-2987775</v>
      </c>
      <c r="AM8" s="44">
        <f>DRE_ACM!AU8-DRE_ACM!AT8</f>
        <v>-2839181</v>
      </c>
      <c r="AN8" s="44">
        <f>DRE_ACM!AV8-DRE_ACM!AU8</f>
        <v>-4449802</v>
      </c>
      <c r="AO8" s="44">
        <f>DRE_ACM!AW8-DRE_ACM!AV8</f>
        <v>-3662565</v>
      </c>
      <c r="AQ8" s="44">
        <f>DRE_ACM!AY8-DRE_ACM!AX8</f>
        <v>-3555875</v>
      </c>
      <c r="AR8" s="44">
        <f>DRE_ACM!AZ8-DRE_ACM!AY8</f>
        <v>-3905028</v>
      </c>
    </row>
    <row r="9" spans="2:46" x14ac:dyDescent="0.25">
      <c r="B9" s="10" t="s">
        <v>80</v>
      </c>
      <c r="C9" s="41">
        <f>DRE_ACM!K9</f>
        <v>58569</v>
      </c>
      <c r="D9" s="41">
        <f>DRE_ACM!L9-DRE_ACM!K9</f>
        <v>96105</v>
      </c>
      <c r="E9" s="41">
        <f>DRE_ACM!M9-DRE_ACM!L9</f>
        <v>79415</v>
      </c>
      <c r="F9" s="41">
        <f>DRE_ACM!N9-DRE_ACM!M9</f>
        <v>101269</v>
      </c>
      <c r="G9" s="10"/>
      <c r="H9" s="41">
        <f>DRE_ACM!P9</f>
        <v>54170</v>
      </c>
      <c r="I9" s="41">
        <f>DRE_ACM!Q9-DRE_ACM!P9</f>
        <v>56481</v>
      </c>
      <c r="J9" s="41">
        <f>DRE_ACM!R9-DRE_ACM!Q9</f>
        <v>105083</v>
      </c>
      <c r="K9" s="41">
        <f>DRE_ACM!S9-DRE_ACM!R9</f>
        <v>147243</v>
      </c>
      <c r="L9" s="10"/>
      <c r="M9" s="41">
        <f>DRE_ACM!U9</f>
        <v>68254</v>
      </c>
      <c r="N9" s="41">
        <f>DRE_ACM!V9-DRE_ACM!U9</f>
        <v>129227</v>
      </c>
      <c r="O9" s="41">
        <f>DRE_ACM!W9-DRE_ACM!V9</f>
        <v>196112</v>
      </c>
      <c r="P9" s="41">
        <f>DRE_ACM!X9-DRE_ACM!W9</f>
        <v>201614</v>
      </c>
      <c r="Q9" s="10"/>
      <c r="R9" s="41">
        <f>DRE_ACM!Z9</f>
        <v>107245</v>
      </c>
      <c r="S9" s="41">
        <f>DRE_ACM!AA9-DRE_ACM!Z9</f>
        <v>185538</v>
      </c>
      <c r="T9" s="41">
        <f>DRE_ACM!AB9-DRE_ACM!AA9</f>
        <v>213000</v>
      </c>
      <c r="U9" s="41">
        <f>DRE_ACM!AC9-DRE_ACM!AB9</f>
        <v>195271</v>
      </c>
      <c r="V9" s="10"/>
      <c r="W9" s="41">
        <f>DRE_ACM!AE9</f>
        <v>158193</v>
      </c>
      <c r="X9" s="41">
        <f>DRE_ACM!AF9-DRE_ACM!AE9</f>
        <v>253092</v>
      </c>
      <c r="Y9" s="41">
        <f>DRE_ACM!AG9-DRE_ACM!AF9</f>
        <v>241234</v>
      </c>
      <c r="Z9" s="41">
        <f>DRE_ACM!AH9-DRE_ACM!AG9</f>
        <v>390780</v>
      </c>
      <c r="AA9" s="10"/>
      <c r="AB9" s="41">
        <v>260155.94586999947</v>
      </c>
      <c r="AC9" s="41">
        <f>DRE_ACM!AK9-DRE_ACM!AJ9</f>
        <v>184248.05413000053</v>
      </c>
      <c r="AD9" s="41">
        <f>DRE_ACM!AL9-DRE_ACM!AK9</f>
        <v>374874</v>
      </c>
      <c r="AE9" s="41">
        <f>DRE_ACM!AM9-DRE_ACM!AL9</f>
        <v>426728</v>
      </c>
      <c r="AF9" s="10"/>
      <c r="AG9" s="41">
        <v>500781</v>
      </c>
      <c r="AH9" s="41">
        <f>DRE_ACM!AP9-DRE_ACM!AO9</f>
        <v>716200</v>
      </c>
      <c r="AI9" s="41">
        <f>DRE_ACM!AQ9-DRE_ACM!AP9</f>
        <v>630554</v>
      </c>
      <c r="AJ9" s="41">
        <f>DRE_ACM!AR9-DRE_ACM!AQ9</f>
        <v>683968</v>
      </c>
      <c r="AK9" s="10"/>
      <c r="AL9" s="41">
        <f>DRE_ACM!AT9-DRE_ACM!AS9</f>
        <v>511333</v>
      </c>
      <c r="AM9" s="41">
        <f>DRE_ACM!AU9-DRE_ACM!AT9</f>
        <v>723696</v>
      </c>
      <c r="AN9" s="41">
        <f>DRE_ACM!AV9-DRE_ACM!AU9</f>
        <v>545077</v>
      </c>
      <c r="AO9" s="41">
        <f>DRE_ACM!AW9-DRE_ACM!AV9</f>
        <v>704265</v>
      </c>
      <c r="AQ9" s="41">
        <f>DRE_ACM!AY9-DRE_ACM!AX9</f>
        <v>651073</v>
      </c>
      <c r="AR9" s="41">
        <f>DRE_ACM!AZ9-DRE_ACM!AY9</f>
        <v>795372</v>
      </c>
    </row>
    <row r="10" spans="2:46" x14ac:dyDescent="0.25">
      <c r="B10" s="47" t="s">
        <v>81</v>
      </c>
      <c r="C10" s="41">
        <f>DRE_ACM!K10</f>
        <v>-26143</v>
      </c>
      <c r="D10" s="41">
        <f>DRE_ACM!L10-DRE_ACM!K10</f>
        <v>-39881</v>
      </c>
      <c r="E10" s="41">
        <f>DRE_ACM!M10-DRE_ACM!L10</f>
        <v>-40034</v>
      </c>
      <c r="F10" s="41">
        <f>DRE_ACM!N10-DRE_ACM!M10</f>
        <v>-51074</v>
      </c>
      <c r="G10" s="47"/>
      <c r="H10" s="41">
        <f>DRE_ACM!P10</f>
        <v>-36614</v>
      </c>
      <c r="I10" s="41">
        <f>DRE_ACM!Q10-DRE_ACM!P10</f>
        <v>-40299</v>
      </c>
      <c r="J10" s="41">
        <f>DRE_ACM!R10-DRE_ACM!Q10</f>
        <v>-62546</v>
      </c>
      <c r="K10" s="41">
        <f>DRE_ACM!S10-DRE_ACM!R10</f>
        <v>-50700</v>
      </c>
      <c r="L10" s="47"/>
      <c r="M10" s="41">
        <f>DRE_ACM!U10</f>
        <v>-39675</v>
      </c>
      <c r="N10" s="41">
        <f>DRE_ACM!V10-DRE_ACM!U10</f>
        <v>-55688</v>
      </c>
      <c r="O10" s="41">
        <f>DRE_ACM!W10-DRE_ACM!V10</f>
        <v>-69539</v>
      </c>
      <c r="P10" s="41">
        <f>DRE_ACM!X10-DRE_ACM!W10</f>
        <v>-34510</v>
      </c>
      <c r="Q10" s="47"/>
      <c r="R10" s="41">
        <f>DRE_ACM!Z10</f>
        <v>-57271</v>
      </c>
      <c r="S10" s="41">
        <f>DRE_ACM!AA10-DRE_ACM!Z10</f>
        <v>-70029</v>
      </c>
      <c r="T10" s="41">
        <f>DRE_ACM!AB10-DRE_ACM!AA10</f>
        <v>-100727</v>
      </c>
      <c r="U10" s="41">
        <f>DRE_ACM!AC10-DRE_ACM!AB10</f>
        <v>-119433</v>
      </c>
      <c r="V10" s="47"/>
      <c r="W10" s="41">
        <f>DRE_ACM!AE10</f>
        <v>-111693</v>
      </c>
      <c r="X10" s="41">
        <f>DRE_ACM!AF10-DRE_ACM!AE10</f>
        <v>-99302</v>
      </c>
      <c r="Y10" s="41">
        <f>DRE_ACM!AG10-DRE_ACM!AF10</f>
        <v>-142215</v>
      </c>
      <c r="Z10" s="41">
        <f>DRE_ACM!AH10-DRE_ACM!AG10</f>
        <v>-152438</v>
      </c>
      <c r="AA10" s="47"/>
      <c r="AB10" s="41">
        <v>-149493.99109159995</v>
      </c>
      <c r="AC10" s="41">
        <f>DRE_ACM!AK10-DRE_ACM!AJ10</f>
        <v>-143408.00890840005</v>
      </c>
      <c r="AD10" s="41">
        <f>DRE_ACM!AL10-DRE_ACM!AK10</f>
        <v>-213148</v>
      </c>
      <c r="AE10" s="41">
        <f>DRE_ACM!AM10-DRE_ACM!AL10</f>
        <v>-298266</v>
      </c>
      <c r="AF10" s="47"/>
      <c r="AG10" s="41">
        <v>-314877</v>
      </c>
      <c r="AH10" s="41">
        <f>DRE_ACM!AP10-DRE_ACM!AO10</f>
        <v>-337586</v>
      </c>
      <c r="AI10" s="41">
        <f>DRE_ACM!AQ10-DRE_ACM!AP10</f>
        <v>-289352</v>
      </c>
      <c r="AJ10" s="41">
        <f>DRE_ACM!AR10-DRE_ACM!AQ10</f>
        <v>-344390</v>
      </c>
      <c r="AK10" s="47"/>
      <c r="AL10" s="41">
        <f>DRE_ACM!AT10-DRE_ACM!AS10</f>
        <v>-374396</v>
      </c>
      <c r="AM10" s="41">
        <f>DRE_ACM!AU10-DRE_ACM!AT10</f>
        <v>-422779</v>
      </c>
      <c r="AN10" s="41">
        <f>DRE_ACM!AV10-DRE_ACM!AU10</f>
        <v>-541330</v>
      </c>
      <c r="AO10" s="41">
        <f>DRE_ACM!AW10-DRE_ACM!AV10</f>
        <v>-606878</v>
      </c>
      <c r="AQ10" s="41">
        <f>DRE_ACM!AY10-DRE_ACM!AX10</f>
        <v>-548459</v>
      </c>
      <c r="AR10" s="41">
        <f>DRE_ACM!AZ10-DRE_ACM!AY10</f>
        <v>-636929</v>
      </c>
    </row>
    <row r="11" spans="2:46" x14ac:dyDescent="0.25">
      <c r="B11" s="13" t="s">
        <v>82</v>
      </c>
      <c r="C11" s="44">
        <f>DRE_ACM!K11</f>
        <v>-23260</v>
      </c>
      <c r="D11" s="44">
        <f>DRE_ACM!L11-DRE_ACM!K11</f>
        <v>-38564</v>
      </c>
      <c r="E11" s="44">
        <f>DRE_ACM!M11-DRE_ACM!L11</f>
        <v>-44793</v>
      </c>
      <c r="F11" s="44">
        <f>DRE_ACM!N11-DRE_ACM!M11</f>
        <v>-45795</v>
      </c>
      <c r="G11" s="13"/>
      <c r="H11" s="44">
        <f>DRE_ACM!P11</f>
        <v>-33136</v>
      </c>
      <c r="I11" s="44">
        <f>DRE_ACM!Q11-DRE_ACM!P11</f>
        <v>-50206</v>
      </c>
      <c r="J11" s="44">
        <f>DRE_ACM!R11-DRE_ACM!Q11</f>
        <v>-60294</v>
      </c>
      <c r="K11" s="44">
        <f>DRE_ACM!S11-DRE_ACM!R11</f>
        <v>-54113</v>
      </c>
      <c r="L11" s="13"/>
      <c r="M11" s="44">
        <f>DRE_ACM!U11</f>
        <v>-42989</v>
      </c>
      <c r="N11" s="44">
        <f>DRE_ACM!V11-DRE_ACM!U11</f>
        <v>-50305</v>
      </c>
      <c r="O11" s="44">
        <f>DRE_ACM!W11-DRE_ACM!V11</f>
        <v>-71208</v>
      </c>
      <c r="P11" s="44">
        <f>DRE_ACM!X11-DRE_ACM!W11</f>
        <v>-38902</v>
      </c>
      <c r="Q11" s="13"/>
      <c r="R11" s="44">
        <f>DRE_ACM!Z11</f>
        <v>-48913</v>
      </c>
      <c r="S11" s="44">
        <f>DRE_ACM!AA11-DRE_ACM!Z11</f>
        <v>-64486</v>
      </c>
      <c r="T11" s="44">
        <f>DRE_ACM!AB11-DRE_ACM!AA11</f>
        <v>-92027</v>
      </c>
      <c r="U11" s="44">
        <f>DRE_ACM!AC11-DRE_ACM!AB11</f>
        <v>-114539</v>
      </c>
      <c r="V11" s="13"/>
      <c r="W11" s="44">
        <f>DRE_ACM!AE11</f>
        <v>-98014</v>
      </c>
      <c r="X11" s="44">
        <f>DRE_ACM!AF11-DRE_ACM!AE11</f>
        <v>-94350</v>
      </c>
      <c r="Y11" s="44">
        <f>DRE_ACM!AG11-DRE_ACM!AF11</f>
        <v>-128286</v>
      </c>
      <c r="Z11" s="44">
        <f>DRE_ACM!AH11-DRE_ACM!AG11</f>
        <v>-141444</v>
      </c>
      <c r="AA11" s="13"/>
      <c r="AB11" s="44">
        <v>-139027.19829999993</v>
      </c>
      <c r="AC11" s="44">
        <f>DRE_ACM!AK11-DRE_ACM!AJ11</f>
        <v>-132628.80170000007</v>
      </c>
      <c r="AD11" s="44">
        <f>DRE_ACM!AL11-DRE_ACM!AK11</f>
        <v>-202420</v>
      </c>
      <c r="AE11" s="44">
        <f>DRE_ACM!AM11-DRE_ACM!AL11</f>
        <v>-290670</v>
      </c>
      <c r="AF11" s="13"/>
      <c r="AG11" s="44">
        <v>-303018</v>
      </c>
      <c r="AH11" s="44">
        <f>DRE_ACM!AP11-DRE_ACM!AO11</f>
        <v>-298720</v>
      </c>
      <c r="AI11" s="44">
        <f>DRE_ACM!AQ11-DRE_ACM!AP11</f>
        <v>-269855</v>
      </c>
      <c r="AJ11" s="44">
        <f>DRE_ACM!AR11-DRE_ACM!AQ11</f>
        <v>-311669</v>
      </c>
      <c r="AK11" s="13"/>
      <c r="AL11" s="44">
        <f>DRE_ACM!AT11-DRE_ACM!AS11</f>
        <v>-352095</v>
      </c>
      <c r="AM11" s="44">
        <f>DRE_ACM!AU11-DRE_ACM!AT11</f>
        <v>-383034</v>
      </c>
      <c r="AN11" s="44">
        <f>DRE_ACM!AV11-DRE_ACM!AU11</f>
        <v>-478607</v>
      </c>
      <c r="AO11" s="44">
        <f>DRE_ACM!AW11-DRE_ACM!AV11</f>
        <v>-571594</v>
      </c>
      <c r="AQ11" s="44">
        <f>DRE_ACM!AY11-DRE_ACM!AX11</f>
        <v>-496444</v>
      </c>
      <c r="AR11" s="44">
        <f>DRE_ACM!AZ11-DRE_ACM!AY11</f>
        <v>-578469</v>
      </c>
    </row>
    <row r="12" spans="2:46" x14ac:dyDescent="0.25">
      <c r="B12" s="13" t="s">
        <v>83</v>
      </c>
      <c r="C12" s="44">
        <f>DRE_ACM!K12</f>
        <v>-5169</v>
      </c>
      <c r="D12" s="44">
        <f>DRE_ACM!L12-DRE_ACM!K12</f>
        <v>-2003</v>
      </c>
      <c r="E12" s="44">
        <f>DRE_ACM!M12-DRE_ACM!L12</f>
        <v>-3384</v>
      </c>
      <c r="F12" s="44">
        <f>DRE_ACM!N12-DRE_ACM!M12</f>
        <v>-1769</v>
      </c>
      <c r="G12" s="13"/>
      <c r="H12" s="44">
        <f>DRE_ACM!P12</f>
        <v>-3996</v>
      </c>
      <c r="I12" s="44">
        <f>DRE_ACM!Q12-DRE_ACM!P12</f>
        <v>-4123</v>
      </c>
      <c r="J12" s="44">
        <f>DRE_ACM!R12-DRE_ACM!Q12</f>
        <v>-4376</v>
      </c>
      <c r="K12" s="44">
        <f>DRE_ACM!S12-DRE_ACM!R12</f>
        <v>-6741</v>
      </c>
      <c r="L12" s="13"/>
      <c r="M12" s="44">
        <f>DRE_ACM!U12</f>
        <v>-4246</v>
      </c>
      <c r="N12" s="44">
        <f>DRE_ACM!V12-DRE_ACM!U12</f>
        <v>-3630</v>
      </c>
      <c r="O12" s="44">
        <f>DRE_ACM!W12-DRE_ACM!V12</f>
        <v>-4159</v>
      </c>
      <c r="P12" s="44">
        <f>DRE_ACM!X12-DRE_ACM!W12</f>
        <v>-9968</v>
      </c>
      <c r="Q12" s="13"/>
      <c r="R12" s="44">
        <f>DRE_ACM!Z12</f>
        <v>-10682</v>
      </c>
      <c r="S12" s="44">
        <f>DRE_ACM!AA12-DRE_ACM!Z12</f>
        <v>-11488</v>
      </c>
      <c r="T12" s="44">
        <f>DRE_ACM!AB12-DRE_ACM!AA12</f>
        <v>-17758</v>
      </c>
      <c r="U12" s="44">
        <f>DRE_ACM!AC12-DRE_ACM!AB12</f>
        <v>-15779</v>
      </c>
      <c r="V12" s="13"/>
      <c r="W12" s="44">
        <f>DRE_ACM!AE12</f>
        <v>-17456</v>
      </c>
      <c r="X12" s="44">
        <f>DRE_ACM!AF12-DRE_ACM!AE12</f>
        <v>-12384</v>
      </c>
      <c r="Y12" s="44">
        <f>DRE_ACM!AG12-DRE_ACM!AF12</f>
        <v>-16247</v>
      </c>
      <c r="Z12" s="44">
        <f>DRE_ACM!AH12-DRE_ACM!AG12</f>
        <v>-22287</v>
      </c>
      <c r="AA12" s="13"/>
      <c r="AB12" s="44">
        <v>-16100.711629999996</v>
      </c>
      <c r="AC12" s="44">
        <f>DRE_ACM!AK12-DRE_ACM!AJ12</f>
        <v>-16471.288370000002</v>
      </c>
      <c r="AD12" s="44">
        <f>DRE_ACM!AL12-DRE_ACM!AK12</f>
        <v>-19068</v>
      </c>
      <c r="AE12" s="44">
        <f>DRE_ACM!AM12-DRE_ACM!AL12</f>
        <v>-20178</v>
      </c>
      <c r="AF12" s="13"/>
      <c r="AG12" s="44">
        <v>-18957</v>
      </c>
      <c r="AH12" s="44">
        <f>DRE_ACM!AP12-DRE_ACM!AO12</f>
        <v>-21974</v>
      </c>
      <c r="AI12" s="44">
        <f>DRE_ACM!AQ12-DRE_ACM!AP12</f>
        <v>-24640</v>
      </c>
      <c r="AJ12" s="44">
        <f>DRE_ACM!AR12-DRE_ACM!AQ12</f>
        <v>-41253</v>
      </c>
      <c r="AK12" s="13"/>
      <c r="AL12" s="44">
        <f>DRE_ACM!AT12-DRE_ACM!AS12</f>
        <v>-23209</v>
      </c>
      <c r="AM12" s="44">
        <f>DRE_ACM!AU12-DRE_ACM!AT12</f>
        <v>-31304</v>
      </c>
      <c r="AN12" s="44">
        <f>DRE_ACM!AV12-DRE_ACM!AU12</f>
        <v>-40828</v>
      </c>
      <c r="AO12" s="44">
        <f>DRE_ACM!AW12-DRE_ACM!AV12</f>
        <v>-41812</v>
      </c>
      <c r="AQ12" s="44">
        <f>DRE_ACM!AY12-DRE_ACM!AX12</f>
        <v>-44199</v>
      </c>
      <c r="AR12" s="44">
        <f>DRE_ACM!AZ12-DRE_ACM!AY12</f>
        <v>-53022</v>
      </c>
    </row>
    <row r="13" spans="2:46" x14ac:dyDescent="0.25">
      <c r="B13" s="33" t="s">
        <v>84</v>
      </c>
      <c r="C13" s="44">
        <f>DRE_ACM!K13</f>
        <v>2286</v>
      </c>
      <c r="D13" s="44">
        <f>DRE_ACM!L13-DRE_ACM!K13</f>
        <v>686</v>
      </c>
      <c r="E13" s="44">
        <f>DRE_ACM!M13-DRE_ACM!L13</f>
        <v>8143</v>
      </c>
      <c r="F13" s="44">
        <f>DRE_ACM!N13-DRE_ACM!M13</f>
        <v>-3510</v>
      </c>
      <c r="G13" s="33"/>
      <c r="H13" s="44">
        <f>DRE_ACM!P13</f>
        <v>518</v>
      </c>
      <c r="I13" s="44">
        <f>DRE_ACM!Q13-DRE_ACM!P13</f>
        <v>14030</v>
      </c>
      <c r="J13" s="44">
        <f>DRE_ACM!R13-DRE_ACM!Q13</f>
        <v>2124</v>
      </c>
      <c r="K13" s="44">
        <f>DRE_ACM!S13-DRE_ACM!R13</f>
        <v>10154</v>
      </c>
      <c r="L13" s="33"/>
      <c r="M13" s="44">
        <f>DRE_ACM!U13</f>
        <v>7560</v>
      </c>
      <c r="N13" s="44">
        <f>DRE_ACM!V13-DRE_ACM!U13</f>
        <v>-1753</v>
      </c>
      <c r="O13" s="44">
        <f>DRE_ACM!W13-DRE_ACM!V13</f>
        <v>5828</v>
      </c>
      <c r="P13" s="44">
        <f>DRE_ACM!X13-DRE_ACM!W13</f>
        <v>14360</v>
      </c>
      <c r="Q13" s="33"/>
      <c r="R13" s="44">
        <f>DRE_ACM!Z13</f>
        <v>2324</v>
      </c>
      <c r="S13" s="44">
        <f>DRE_ACM!AA13-DRE_ACM!Z13</f>
        <v>5945</v>
      </c>
      <c r="T13" s="44">
        <f>DRE_ACM!AB13-DRE_ACM!AA13</f>
        <v>9058</v>
      </c>
      <c r="U13" s="44">
        <f>DRE_ACM!AC13-DRE_ACM!AB13</f>
        <v>10885</v>
      </c>
      <c r="V13" s="33"/>
      <c r="W13" s="44">
        <f>DRE_ACM!AE13</f>
        <v>3777</v>
      </c>
      <c r="X13" s="44">
        <f>DRE_ACM!AF13-DRE_ACM!AE13</f>
        <v>7432</v>
      </c>
      <c r="Y13" s="44">
        <f>DRE_ACM!AG13-DRE_ACM!AF13</f>
        <v>2318</v>
      </c>
      <c r="Z13" s="44">
        <f>DRE_ACM!AH13-DRE_ACM!AG13</f>
        <v>11293</v>
      </c>
      <c r="AA13" s="33"/>
      <c r="AB13" s="44">
        <v>5633.9188383999999</v>
      </c>
      <c r="AC13" s="44">
        <f>DRE_ACM!AK13-DRE_ACM!AJ13</f>
        <v>5692.0811616000001</v>
      </c>
      <c r="AD13" s="44">
        <f>DRE_ACM!AL13-DRE_ACM!AK13</f>
        <v>8340</v>
      </c>
      <c r="AE13" s="44">
        <f>DRE_ACM!AM13-DRE_ACM!AL13</f>
        <v>12582</v>
      </c>
      <c r="AF13" s="33"/>
      <c r="AG13" s="44">
        <v>7098</v>
      </c>
      <c r="AH13" s="44">
        <f>DRE_ACM!AP13-DRE_ACM!AO13</f>
        <v>-16892</v>
      </c>
      <c r="AI13" s="44">
        <f>DRE_ACM!AQ13-DRE_ACM!AP13</f>
        <v>5143</v>
      </c>
      <c r="AJ13" s="44">
        <f>DRE_ACM!AR13-DRE_ACM!AQ13</f>
        <v>8532</v>
      </c>
      <c r="AK13" s="33"/>
      <c r="AL13" s="44">
        <f>DRE_ACM!AT13-DRE_ACM!AS13</f>
        <v>908</v>
      </c>
      <c r="AM13" s="44">
        <f>DRE_ACM!AU13-DRE_ACM!AT13</f>
        <v>-8441</v>
      </c>
      <c r="AN13" s="44">
        <f>DRE_ACM!AV13-DRE_ACM!AU13</f>
        <v>-21895</v>
      </c>
      <c r="AO13" s="44">
        <f>DRE_ACM!AW13-DRE_ACM!AV13</f>
        <v>6528</v>
      </c>
      <c r="AQ13" s="44">
        <f>DRE_ACM!AY13-DRE_ACM!AX13</f>
        <v>-7816</v>
      </c>
      <c r="AR13" s="44">
        <f>DRE_ACM!AZ13-DRE_ACM!AY13</f>
        <v>-5438</v>
      </c>
    </row>
    <row r="14" spans="2:46" x14ac:dyDescent="0.25">
      <c r="B14" s="10" t="s">
        <v>86</v>
      </c>
      <c r="C14" s="41">
        <f>DRE_ACM!K15</f>
        <v>32426</v>
      </c>
      <c r="D14" s="41">
        <f>DRE_ACM!L15-DRE_ACM!K15</f>
        <v>56224</v>
      </c>
      <c r="E14" s="41">
        <f>DRE_ACM!M15-DRE_ACM!L15</f>
        <v>39381</v>
      </c>
      <c r="F14" s="41">
        <f>DRE_ACM!N15-DRE_ACM!M15</f>
        <v>50195</v>
      </c>
      <c r="G14" s="10"/>
      <c r="H14" s="41">
        <f>DRE_ACM!P15</f>
        <v>17556</v>
      </c>
      <c r="I14" s="41">
        <f>DRE_ACM!Q15-DRE_ACM!P15</f>
        <v>16182</v>
      </c>
      <c r="J14" s="41">
        <f>DRE_ACM!R15-DRE_ACM!Q15</f>
        <v>42537</v>
      </c>
      <c r="K14" s="41">
        <f>DRE_ACM!S15-DRE_ACM!R15</f>
        <v>96543</v>
      </c>
      <c r="L14" s="10"/>
      <c r="M14" s="41">
        <f>DRE_ACM!U15</f>
        <v>28579</v>
      </c>
      <c r="N14" s="41">
        <f>DRE_ACM!V15-DRE_ACM!U15</f>
        <v>73539</v>
      </c>
      <c r="O14" s="41">
        <f>DRE_ACM!W15-DRE_ACM!V15</f>
        <v>126573</v>
      </c>
      <c r="P14" s="41">
        <f>DRE_ACM!X15-DRE_ACM!W15</f>
        <v>167104</v>
      </c>
      <c r="Q14" s="10"/>
      <c r="R14" s="41">
        <f>DRE_ACM!Z15</f>
        <v>49974</v>
      </c>
      <c r="S14" s="41">
        <f>DRE_ACM!AA15-DRE_ACM!Z15</f>
        <v>115509</v>
      </c>
      <c r="T14" s="41">
        <f>DRE_ACM!AB15-DRE_ACM!AA15</f>
        <v>112273</v>
      </c>
      <c r="U14" s="41">
        <f>DRE_ACM!AC15-DRE_ACM!AB15</f>
        <v>75838</v>
      </c>
      <c r="V14" s="10"/>
      <c r="W14" s="41">
        <f>DRE_ACM!AE15</f>
        <v>46500</v>
      </c>
      <c r="X14" s="41">
        <f>DRE_ACM!AF15-DRE_ACM!AE15</f>
        <v>153790</v>
      </c>
      <c r="Y14" s="41">
        <f>DRE_ACM!AG15-DRE_ACM!AF15</f>
        <v>99019</v>
      </c>
      <c r="Z14" s="41">
        <f>DRE_ACM!AH15-DRE_ACM!AG15</f>
        <v>238342</v>
      </c>
      <c r="AA14" s="10"/>
      <c r="AB14" s="41">
        <v>110661.95477839952</v>
      </c>
      <c r="AC14" s="41">
        <f>DRE_ACM!AK15-DRE_ACM!AJ15</f>
        <v>40840.045221600478</v>
      </c>
      <c r="AD14" s="41">
        <f>DRE_ACM!AL15-DRE_ACM!AK15</f>
        <v>161726</v>
      </c>
      <c r="AE14" s="41">
        <f>DRE_ACM!AM15-DRE_ACM!AL15</f>
        <v>128462</v>
      </c>
      <c r="AF14" s="10"/>
      <c r="AG14" s="41">
        <v>185904</v>
      </c>
      <c r="AH14" s="41">
        <f>DRE_ACM!AP15-DRE_ACM!AO15</f>
        <v>378614</v>
      </c>
      <c r="AI14" s="43">
        <f>DRE_ACM!AQ15-DRE_ACM!AP15</f>
        <v>341202</v>
      </c>
      <c r="AJ14" s="43">
        <f>DRE_ACM!AR15-DRE_ACM!AQ15</f>
        <v>339578</v>
      </c>
      <c r="AK14" s="10"/>
      <c r="AL14" s="43">
        <f>DRE_ACM!AT15-DRE_ACM!AS15</f>
        <v>136937</v>
      </c>
      <c r="AM14" s="43">
        <f>DRE_ACM!AU15-DRE_ACM!AT15</f>
        <v>300917</v>
      </c>
      <c r="AN14" s="43">
        <f>DRE_ACM!AV15-DRE_ACM!AU15</f>
        <v>3747</v>
      </c>
      <c r="AO14" s="43">
        <f>DRE_ACM!AW15-DRE_ACM!AV15</f>
        <v>97387</v>
      </c>
      <c r="AP14" s="41"/>
      <c r="AQ14" s="43">
        <f>DRE_ACM!AY15-DRE_ACM!AX15</f>
        <v>102614</v>
      </c>
      <c r="AR14" s="43">
        <f>DRE_ACM!AZ15-DRE_ACM!AY15</f>
        <v>158443</v>
      </c>
    </row>
    <row r="15" spans="2:46" x14ac:dyDescent="0.25">
      <c r="B15" s="10" t="s">
        <v>87</v>
      </c>
      <c r="C15" s="41">
        <f>DRE_ACM!K16</f>
        <v>-12656</v>
      </c>
      <c r="D15" s="41">
        <f>DRE_ACM!L16-DRE_ACM!K16</f>
        <v>-27027</v>
      </c>
      <c r="E15" s="41">
        <f>DRE_ACM!M16-DRE_ACM!L16</f>
        <v>-16831</v>
      </c>
      <c r="F15" s="41">
        <f>DRE_ACM!N16-DRE_ACM!M16</f>
        <v>16309</v>
      </c>
      <c r="G15" s="10"/>
      <c r="H15" s="41">
        <f>DRE_ACM!P16</f>
        <v>-2653</v>
      </c>
      <c r="I15" s="41">
        <f>DRE_ACM!Q16-DRE_ACM!P16</f>
        <v>9361</v>
      </c>
      <c r="J15" s="41">
        <f>DRE_ACM!R16-DRE_ACM!Q16</f>
        <v>-11029</v>
      </c>
      <c r="K15" s="41">
        <f>DRE_ACM!S16-DRE_ACM!R16</f>
        <v>-19073</v>
      </c>
      <c r="L15" s="10"/>
      <c r="M15" s="41">
        <f>DRE_ACM!U16</f>
        <v>-21470</v>
      </c>
      <c r="N15" s="41">
        <f>DRE_ACM!V16-DRE_ACM!U16</f>
        <v>-37897</v>
      </c>
      <c r="O15" s="41">
        <f>DRE_ACM!W16-DRE_ACM!V16</f>
        <v>12760</v>
      </c>
      <c r="P15" s="41">
        <f>DRE_ACM!X16-DRE_ACM!W16</f>
        <v>-26885</v>
      </c>
      <c r="Q15" s="10"/>
      <c r="R15" s="41">
        <f>DRE_ACM!Z16</f>
        <v>-5085</v>
      </c>
      <c r="S15" s="41">
        <f>DRE_ACM!AA16-DRE_ACM!Z16</f>
        <v>24467</v>
      </c>
      <c r="T15" s="41">
        <f>DRE_ACM!AB16-DRE_ACM!AA16</f>
        <v>-15308</v>
      </c>
      <c r="U15" s="41">
        <f>DRE_ACM!AC16-DRE_ACM!AB16</f>
        <v>22169</v>
      </c>
      <c r="V15" s="10"/>
      <c r="W15" s="41">
        <f>DRE_ACM!AE16</f>
        <v>5764</v>
      </c>
      <c r="X15" s="41">
        <f>DRE_ACM!AF16-DRE_ACM!AE16</f>
        <v>6398</v>
      </c>
      <c r="Y15" s="41">
        <f>DRE_ACM!AG16-DRE_ACM!AF16</f>
        <v>2580</v>
      </c>
      <c r="Z15" s="41">
        <f>DRE_ACM!AH16-DRE_ACM!AG16</f>
        <v>-12072</v>
      </c>
      <c r="AA15" s="10"/>
      <c r="AB15" s="41">
        <v>-16454.875640000006</v>
      </c>
      <c r="AC15" s="41">
        <f>DRE_ACM!AK16-DRE_ACM!AJ16</f>
        <v>17129.875640000006</v>
      </c>
      <c r="AD15" s="41">
        <f>DRE_ACM!AL16-DRE_ACM!AK16</f>
        <v>-46408</v>
      </c>
      <c r="AE15" s="41">
        <f>DRE_ACM!AM16-DRE_ACM!AL16</f>
        <v>32763</v>
      </c>
      <c r="AF15" s="10"/>
      <c r="AG15" s="41">
        <v>-9064</v>
      </c>
      <c r="AH15" s="41">
        <f>DRE_ACM!AP16-DRE_ACM!AO16</f>
        <v>-162105</v>
      </c>
      <c r="AI15" s="43">
        <f>AI16+AI17</f>
        <v>113351</v>
      </c>
      <c r="AJ15" s="43">
        <f>DRE_ACM!AR16-DRE_ACM!AQ16</f>
        <v>-186454</v>
      </c>
      <c r="AK15" s="10"/>
      <c r="AL15" s="43">
        <f>DRE_ACM!AT16-DRE_ACM!AS16</f>
        <v>111585</v>
      </c>
      <c r="AM15" s="43">
        <f>DRE_ACM!AU16-DRE_ACM!AT16</f>
        <v>150231</v>
      </c>
      <c r="AN15" s="43">
        <f>DRE_ACM!AV16-DRE_ACM!AU16</f>
        <v>249207</v>
      </c>
      <c r="AO15" s="43">
        <f>DRE_ACM!AW16-DRE_ACM!AV16</f>
        <v>-13987</v>
      </c>
      <c r="AQ15" s="43">
        <f>DRE_ACM!AY16-DRE_ACM!AX16</f>
        <v>-10399</v>
      </c>
      <c r="AR15" s="43">
        <f>DRE_ACM!AZ16-DRE_ACM!AY16</f>
        <v>69125</v>
      </c>
    </row>
    <row r="16" spans="2:46" x14ac:dyDescent="0.25">
      <c r="B16" s="13" t="s">
        <v>313</v>
      </c>
      <c r="C16" s="44">
        <f>DRE_ACM!K17</f>
        <v>7604</v>
      </c>
      <c r="D16" s="44">
        <f>DRE_ACM!L17-DRE_ACM!K17</f>
        <v>26746</v>
      </c>
      <c r="E16" s="44">
        <f>DRE_ACM!M17-DRE_ACM!L17</f>
        <v>6880</v>
      </c>
      <c r="F16" s="44">
        <f>DRE_ACM!N17-DRE_ACM!M17</f>
        <v>8160</v>
      </c>
      <c r="G16" s="13"/>
      <c r="H16" s="44">
        <f>DRE_ACM!P17</f>
        <v>17030</v>
      </c>
      <c r="I16" s="44">
        <f>DRE_ACM!Q17-DRE_ACM!P17</f>
        <v>26573</v>
      </c>
      <c r="J16" s="44">
        <f>DRE_ACM!R17-DRE_ACM!Q17</f>
        <v>24300</v>
      </c>
      <c r="K16" s="44">
        <f>DRE_ACM!S17-DRE_ACM!R17</f>
        <v>5180</v>
      </c>
      <c r="L16" s="13"/>
      <c r="M16" s="44">
        <f>DRE_ACM!U17</f>
        <v>32403</v>
      </c>
      <c r="N16" s="44">
        <f>DRE_ACM!V17-DRE_ACM!U17</f>
        <v>25612</v>
      </c>
      <c r="O16" s="44">
        <f>DRE_ACM!W17-DRE_ACM!V17</f>
        <v>47092</v>
      </c>
      <c r="P16" s="44">
        <f>DRE_ACM!X17-DRE_ACM!W17</f>
        <v>13373</v>
      </c>
      <c r="Q16" s="13"/>
      <c r="R16" s="44">
        <f>DRE_ACM!Z17</f>
        <v>30470</v>
      </c>
      <c r="S16" s="44">
        <f>DRE_ACM!AA17-DRE_ACM!Z17</f>
        <v>72665</v>
      </c>
      <c r="T16" s="44">
        <f>DRE_ACM!AB17-DRE_ACM!AA17</f>
        <v>52631</v>
      </c>
      <c r="U16" s="44">
        <f>DRE_ACM!AC17-DRE_ACM!AB17</f>
        <v>52003</v>
      </c>
      <c r="V16" s="13"/>
      <c r="W16" s="44">
        <f>DRE_ACM!AE17</f>
        <v>80077</v>
      </c>
      <c r="X16" s="44">
        <f>DRE_ACM!AF17-DRE_ACM!AE17</f>
        <v>111840</v>
      </c>
      <c r="Y16" s="44">
        <f>DRE_ACM!AG17-DRE_ACM!AF17</f>
        <v>63264</v>
      </c>
      <c r="Z16" s="44">
        <f>DRE_ACM!AH17-DRE_ACM!AG17</f>
        <v>63771</v>
      </c>
      <c r="AA16" s="13"/>
      <c r="AB16" s="44">
        <v>62275</v>
      </c>
      <c r="AC16" s="44">
        <f>DRE_ACM!AK17-DRE_ACM!AJ17</f>
        <v>113784</v>
      </c>
      <c r="AD16" s="44">
        <f>DRE_ACM!AL17-DRE_ACM!AK17</f>
        <v>95953</v>
      </c>
      <c r="AE16" s="44">
        <f>DRE_ACM!AM17-DRE_ACM!AL17</f>
        <v>110534</v>
      </c>
      <c r="AF16" s="13"/>
      <c r="AG16" s="44">
        <v>90811</v>
      </c>
      <c r="AH16" s="44">
        <f>DRE_ACM!AP17-DRE_ACM!AO17</f>
        <v>157089</v>
      </c>
      <c r="AI16" s="46">
        <v>303231</v>
      </c>
      <c r="AJ16" s="46">
        <f>DRE_ACM!AR17-DRE_ACM!AQ17</f>
        <v>549583</v>
      </c>
      <c r="AK16" s="13"/>
      <c r="AL16" s="46">
        <f>DRE_ACM!AT17-DRE_ACM!AS17</f>
        <v>331660</v>
      </c>
      <c r="AM16" s="46">
        <v>301359</v>
      </c>
      <c r="AN16" s="46">
        <v>331739</v>
      </c>
      <c r="AO16" s="45">
        <f>DRE_ACM!AW17-DRE_ACM!AV17</f>
        <v>18856</v>
      </c>
      <c r="AQ16" s="45">
        <f>DRE_ACM!AY17-DRE_ACM!AX17</f>
        <v>252742</v>
      </c>
      <c r="AR16" s="46">
        <v>265921</v>
      </c>
    </row>
    <row r="17" spans="2:44" x14ac:dyDescent="0.25">
      <c r="B17" s="13" t="s">
        <v>314</v>
      </c>
      <c r="C17" s="44">
        <f>DRE_ACM!K18</f>
        <v>-20260</v>
      </c>
      <c r="D17" s="44">
        <f>DRE_ACM!L18-DRE_ACM!K18</f>
        <v>-53773</v>
      </c>
      <c r="E17" s="44">
        <f>DRE_ACM!M18-DRE_ACM!L18</f>
        <v>-23711</v>
      </c>
      <c r="F17" s="44">
        <f>DRE_ACM!N18-DRE_ACM!M18</f>
        <v>8149</v>
      </c>
      <c r="G17" s="13"/>
      <c r="H17" s="44">
        <f>DRE_ACM!P18</f>
        <v>-19683</v>
      </c>
      <c r="I17" s="44">
        <f>DRE_ACM!Q18-DRE_ACM!P18</f>
        <v>-17212</v>
      </c>
      <c r="J17" s="44">
        <f>DRE_ACM!R18-DRE_ACM!Q18</f>
        <v>-35329</v>
      </c>
      <c r="K17" s="44">
        <f>DRE_ACM!S18-DRE_ACM!R18</f>
        <v>-24253</v>
      </c>
      <c r="L17" s="13"/>
      <c r="M17" s="44">
        <f>DRE_ACM!U18</f>
        <v>-53873</v>
      </c>
      <c r="N17" s="44">
        <f>DRE_ACM!V18-DRE_ACM!U18</f>
        <v>-63509</v>
      </c>
      <c r="O17" s="44">
        <f>DRE_ACM!W18-DRE_ACM!V18</f>
        <v>-34332</v>
      </c>
      <c r="P17" s="44">
        <f>DRE_ACM!X18-DRE_ACM!W18</f>
        <v>-40258</v>
      </c>
      <c r="Q17" s="13"/>
      <c r="R17" s="44">
        <f>DRE_ACM!Z18</f>
        <v>-35555</v>
      </c>
      <c r="S17" s="44">
        <f>DRE_ACM!AA18-DRE_ACM!Z18</f>
        <v>-48198</v>
      </c>
      <c r="T17" s="44">
        <f>DRE_ACM!AB18-DRE_ACM!AA18</f>
        <v>-67939</v>
      </c>
      <c r="U17" s="44">
        <f>DRE_ACM!AC18-DRE_ACM!AB18</f>
        <v>-29834</v>
      </c>
      <c r="V17" s="13"/>
      <c r="W17" s="44">
        <f>DRE_ACM!AE18</f>
        <v>-74313</v>
      </c>
      <c r="X17" s="44">
        <f>DRE_ACM!AF18-DRE_ACM!AE18</f>
        <v>-105442</v>
      </c>
      <c r="Y17" s="44">
        <f>DRE_ACM!AG18-DRE_ACM!AF18</f>
        <v>-60684</v>
      </c>
      <c r="Z17" s="44">
        <f>DRE_ACM!AH18-DRE_ACM!AG18</f>
        <v>-75843</v>
      </c>
      <c r="AA17" s="13"/>
      <c r="AB17" s="44">
        <v>-78730.386510000011</v>
      </c>
      <c r="AC17" s="44">
        <f>DRE_ACM!AK18-DRE_ACM!AJ18</f>
        <v>-96653.613489999989</v>
      </c>
      <c r="AD17" s="44">
        <f>DRE_ACM!AL18-DRE_ACM!AK18</f>
        <v>-142361</v>
      </c>
      <c r="AE17" s="44">
        <f>DRE_ACM!AM18-DRE_ACM!AL18</f>
        <v>-77771</v>
      </c>
      <c r="AF17" s="13"/>
      <c r="AG17" s="44">
        <v>-99875</v>
      </c>
      <c r="AH17" s="44">
        <f>DRE_ACM!AP18-DRE_ACM!AO18</f>
        <v>-319194</v>
      </c>
      <c r="AI17" s="46">
        <v>-189880</v>
      </c>
      <c r="AJ17" s="46">
        <f>DRE_ACM!AR18-DRE_ACM!AQ18</f>
        <v>-736037</v>
      </c>
      <c r="AK17" s="13"/>
      <c r="AL17" s="46">
        <f>DRE_ACM!AT18-DRE_ACM!AS18</f>
        <v>-220075</v>
      </c>
      <c r="AM17" s="46">
        <v>-151128</v>
      </c>
      <c r="AN17" s="46">
        <v>-82532</v>
      </c>
      <c r="AO17" s="46">
        <f>DRE_ACM!AW18-DRE_ACM!AV18</f>
        <v>-32843</v>
      </c>
      <c r="AQ17" s="46">
        <f>DRE_ACM!AY18-DRE_ACM!AX18</f>
        <v>-263141</v>
      </c>
      <c r="AR17" s="46">
        <v>-196796</v>
      </c>
    </row>
    <row r="18" spans="2:44" x14ac:dyDescent="0.25">
      <c r="B18" s="50" t="s">
        <v>88</v>
      </c>
      <c r="C18" s="41">
        <f>DRE_ACM!K19</f>
        <v>19770</v>
      </c>
      <c r="D18" s="41">
        <f>DRE_ACM!L19-DRE_ACM!K19</f>
        <v>29197</v>
      </c>
      <c r="E18" s="41">
        <f>DRE_ACM!M19-DRE_ACM!L19</f>
        <v>22550</v>
      </c>
      <c r="F18" s="41">
        <f>DRE_ACM!N19-DRE_ACM!M19</f>
        <v>66504</v>
      </c>
      <c r="G18" s="50"/>
      <c r="H18" s="41">
        <f>DRE_ACM!P19</f>
        <v>14903</v>
      </c>
      <c r="I18" s="41">
        <f>DRE_ACM!Q19-DRE_ACM!P19</f>
        <v>25543</v>
      </c>
      <c r="J18" s="41">
        <f>DRE_ACM!R19-DRE_ACM!Q19</f>
        <v>31508</v>
      </c>
      <c r="K18" s="41">
        <f>DRE_ACM!S19-DRE_ACM!R19</f>
        <v>77470</v>
      </c>
      <c r="L18" s="50"/>
      <c r="M18" s="41">
        <f>DRE_ACM!U19</f>
        <v>7109</v>
      </c>
      <c r="N18" s="41">
        <f>DRE_ACM!V19-DRE_ACM!U19</f>
        <v>35642</v>
      </c>
      <c r="O18" s="41">
        <f>DRE_ACM!W19-DRE_ACM!V19</f>
        <v>139333</v>
      </c>
      <c r="P18" s="41">
        <f>DRE_ACM!X19-DRE_ACM!W19</f>
        <v>140219</v>
      </c>
      <c r="Q18" s="50"/>
      <c r="R18" s="41">
        <f>DRE_ACM!Z19</f>
        <v>44889</v>
      </c>
      <c r="S18" s="41">
        <f>DRE_ACM!AA19-DRE_ACM!Z19</f>
        <v>139976</v>
      </c>
      <c r="T18" s="41">
        <f>DRE_ACM!AB19-DRE_ACM!AA19</f>
        <v>96965</v>
      </c>
      <c r="U18" s="41">
        <f>DRE_ACM!AC19-DRE_ACM!AB19</f>
        <v>98007</v>
      </c>
      <c r="V18" s="50"/>
      <c r="W18" s="41">
        <f>DRE_ACM!AE19</f>
        <v>52264</v>
      </c>
      <c r="X18" s="41">
        <f>DRE_ACM!AF19-DRE_ACM!AE19</f>
        <v>160188</v>
      </c>
      <c r="Y18" s="41">
        <f>DRE_ACM!AG19-DRE_ACM!AF19</f>
        <v>101599</v>
      </c>
      <c r="Z18" s="41">
        <f>DRE_ACM!AH19-DRE_ACM!AG19</f>
        <v>226270</v>
      </c>
      <c r="AA18" s="50"/>
      <c r="AB18" s="41">
        <v>94207.079138399509</v>
      </c>
      <c r="AC18" s="41">
        <f>DRE_ACM!AK19-DRE_ACM!AJ19</f>
        <v>57969.920861600491</v>
      </c>
      <c r="AD18" s="41">
        <f>DRE_ACM!AL19-DRE_ACM!AK19</f>
        <v>115318</v>
      </c>
      <c r="AE18" s="41">
        <f>DRE_ACM!AM19-DRE_ACM!AL19</f>
        <v>161225</v>
      </c>
      <c r="AF18" s="50"/>
      <c r="AG18" s="41">
        <v>176840</v>
      </c>
      <c r="AH18" s="41">
        <f>DRE_ACM!AP19-DRE_ACM!AO19</f>
        <v>216509</v>
      </c>
      <c r="AI18" s="43">
        <f>DRE_ACM!AQ19-DRE_ACM!AP19</f>
        <v>454553</v>
      </c>
      <c r="AJ18" s="43">
        <f>DRE_ACM!AR19-DRE_ACM!AQ19</f>
        <v>153124</v>
      </c>
      <c r="AK18" s="50"/>
      <c r="AL18" s="43">
        <f>DRE_ACM!AT19-DRE_ACM!AS19</f>
        <v>248522</v>
      </c>
      <c r="AM18" s="43">
        <f>DRE_ACM!AU19-DRE_ACM!AT19</f>
        <v>451148</v>
      </c>
      <c r="AN18" s="43">
        <f>DRE_ACM!AV19-DRE_ACM!AU19</f>
        <v>252954</v>
      </c>
      <c r="AO18" s="43">
        <f>DRE_ACM!AW19-DRE_ACM!AV19</f>
        <v>83400</v>
      </c>
      <c r="AQ18" s="43">
        <f>DRE_ACM!AY19-DRE_ACM!AX19</f>
        <v>92215</v>
      </c>
      <c r="AR18" s="43">
        <f>DRE_ACM!AZ19-DRE_ACM!AY19</f>
        <v>227568</v>
      </c>
    </row>
    <row r="19" spans="2:44" x14ac:dyDescent="0.25">
      <c r="B19" s="50" t="s">
        <v>89</v>
      </c>
      <c r="C19" s="41">
        <f>DRE_ACM!K20</f>
        <v>0</v>
      </c>
      <c r="D19" s="41">
        <f>DRE_ACM!L20-DRE_ACM!K20</f>
        <v>0</v>
      </c>
      <c r="E19" s="41">
        <f>DRE_ACM!M20-DRE_ACM!L20</f>
        <v>0</v>
      </c>
      <c r="F19" s="41">
        <f>DRE_ACM!N20-DRE_ACM!M20</f>
        <v>5572</v>
      </c>
      <c r="G19" s="50"/>
      <c r="H19" s="41">
        <f>DRE_ACM!P20</f>
        <v>0</v>
      </c>
      <c r="I19" s="41">
        <f>DRE_ACM!Q20-DRE_ACM!P20</f>
        <v>-7163</v>
      </c>
      <c r="J19" s="41">
        <f>DRE_ACM!R20-DRE_ACM!Q20</f>
        <v>2317</v>
      </c>
      <c r="K19" s="41">
        <f>DRE_ACM!S20-DRE_ACM!R20</f>
        <v>-3067</v>
      </c>
      <c r="L19" s="50"/>
      <c r="M19" s="41">
        <f>DRE_ACM!U20</f>
        <v>2585</v>
      </c>
      <c r="N19" s="41">
        <f>DRE_ACM!V20-DRE_ACM!U20</f>
        <v>-1184</v>
      </c>
      <c r="O19" s="41">
        <f>DRE_ACM!W20-DRE_ACM!V20</f>
        <v>-15000</v>
      </c>
      <c r="P19" s="41">
        <f>DRE_ACM!X20-DRE_ACM!W20</f>
        <v>-15457</v>
      </c>
      <c r="Q19" s="50"/>
      <c r="R19" s="41">
        <f>DRE_ACM!Z20</f>
        <v>6150</v>
      </c>
      <c r="S19" s="41">
        <f>DRE_ACM!AA20-DRE_ACM!Z20</f>
        <v>-25700</v>
      </c>
      <c r="T19" s="41">
        <f>DRE_ACM!AB20-DRE_ACM!AA20</f>
        <v>970</v>
      </c>
      <c r="U19" s="41">
        <f>DRE_ACM!AC20-DRE_ACM!AB20</f>
        <v>69049</v>
      </c>
      <c r="V19" s="50"/>
      <c r="W19" s="41">
        <f>DRE_ACM!AE20</f>
        <v>4518</v>
      </c>
      <c r="X19" s="41">
        <f>DRE_ACM!AF20-DRE_ACM!AE20</f>
        <v>-38966</v>
      </c>
      <c r="Y19" s="41">
        <f>DRE_ACM!AG20-DRE_ACM!AF20</f>
        <v>67561</v>
      </c>
      <c r="Z19" s="41">
        <f>DRE_ACM!AH20-DRE_ACM!AG20</f>
        <v>-2260</v>
      </c>
      <c r="AA19" s="50"/>
      <c r="AB19" s="41">
        <v>9132.1157700000003</v>
      </c>
      <c r="AC19" s="41">
        <f>DRE_ACM!AK20-DRE_ACM!AJ20</f>
        <v>18978.88423</v>
      </c>
      <c r="AD19" s="41">
        <f>DRE_ACM!AL20-DRE_ACM!AK20</f>
        <v>102547</v>
      </c>
      <c r="AE19" s="41">
        <f>DRE_ACM!AM20-DRE_ACM!AL20</f>
        <v>14424</v>
      </c>
      <c r="AF19" s="50"/>
      <c r="AG19" s="41">
        <v>-20402</v>
      </c>
      <c r="AH19" s="41">
        <f>DRE_ACM!AP20-DRE_ACM!AO20</f>
        <v>-70865</v>
      </c>
      <c r="AI19" s="43">
        <f>DRE_ACM!AQ20-DRE_ACM!AP20</f>
        <v>-136178</v>
      </c>
      <c r="AJ19" s="43">
        <f>DRE_ACM!AR20-DRE_ACM!AQ20</f>
        <v>-17216</v>
      </c>
      <c r="AK19" s="50"/>
      <c r="AL19" s="43">
        <f>DRE_ACM!AT20-DRE_ACM!AS20</f>
        <v>-56103</v>
      </c>
      <c r="AM19" s="43">
        <f>DRE_ACM!AU20-DRE_ACM!AT20</f>
        <v>-120301</v>
      </c>
      <c r="AN19" s="43">
        <f>DRE_ACM!AV20-DRE_ACM!AU20</f>
        <v>-49910</v>
      </c>
      <c r="AO19" s="43">
        <f>DRE_ACM!AW20-DRE_ACM!AV20</f>
        <v>-1011</v>
      </c>
      <c r="AQ19" s="43">
        <f>DRE_ACM!AY20-DRE_ACM!AX20</f>
        <v>-7040</v>
      </c>
      <c r="AR19" s="43">
        <f>DRE_ACM!AZ20-DRE_ACM!AY20</f>
        <v>-21680</v>
      </c>
    </row>
    <row r="20" spans="2:44" x14ac:dyDescent="0.25">
      <c r="B20" s="13" t="s">
        <v>90</v>
      </c>
      <c r="C20" s="44">
        <f>DRE_ACM!K21</f>
        <v>0</v>
      </c>
      <c r="D20" s="44">
        <f>DRE_ACM!L21-DRE_ACM!K21</f>
        <v>0</v>
      </c>
      <c r="E20" s="44">
        <f>DRE_ACM!M21-DRE_ACM!L21</f>
        <v>0</v>
      </c>
      <c r="F20" s="44">
        <f>DRE_ACM!N21-DRE_ACM!M21</f>
        <v>-7669</v>
      </c>
      <c r="G20" s="13"/>
      <c r="H20" s="44">
        <f>DRE_ACM!P21</f>
        <v>0</v>
      </c>
      <c r="I20" s="44">
        <f>DRE_ACM!Q21-DRE_ACM!P21</f>
        <v>0</v>
      </c>
      <c r="J20" s="44">
        <f>DRE_ACM!R21-DRE_ACM!Q21</f>
        <v>0</v>
      </c>
      <c r="K20" s="44">
        <f>DRE_ACM!S21-DRE_ACM!R21</f>
        <v>-1297</v>
      </c>
      <c r="L20" s="13"/>
      <c r="M20" s="44">
        <f>DRE_ACM!U21</f>
        <v>0</v>
      </c>
      <c r="N20" s="44">
        <f>DRE_ACM!V21-DRE_ACM!U21</f>
        <v>0</v>
      </c>
      <c r="O20" s="44">
        <f>DRE_ACM!W21-DRE_ACM!V21</f>
        <v>-2844</v>
      </c>
      <c r="P20" s="44">
        <f>DRE_ACM!X21-DRE_ACM!W21</f>
        <v>-21647</v>
      </c>
      <c r="Q20" s="13"/>
      <c r="R20" s="44">
        <f>DRE_ACM!Z21</f>
        <v>0</v>
      </c>
      <c r="S20" s="44">
        <f>DRE_ACM!AA21-DRE_ACM!Z21</f>
        <v>-16655</v>
      </c>
      <c r="T20" s="44">
        <f>DRE_ACM!AB21-DRE_ACM!AA21</f>
        <v>10666</v>
      </c>
      <c r="U20" s="44">
        <f>DRE_ACM!AC21-DRE_ACM!AB21</f>
        <v>-11802</v>
      </c>
      <c r="V20" s="13"/>
      <c r="W20" s="44">
        <f>DRE_ACM!AE21</f>
        <v>-13109</v>
      </c>
      <c r="X20" s="44">
        <f>DRE_ACM!AF21-DRE_ACM!AE21</f>
        <v>-14559</v>
      </c>
      <c r="Y20" s="44">
        <f>DRE_ACM!AG21-DRE_ACM!AF21</f>
        <v>27664</v>
      </c>
      <c r="Z20" s="44">
        <f>DRE_ACM!AH21-DRE_ACM!AG21</f>
        <v>-150</v>
      </c>
      <c r="AA20" s="13"/>
      <c r="AB20" s="44">
        <v>-37.767669999999995</v>
      </c>
      <c r="AC20" s="44">
        <f>DRE_ACM!AK21-DRE_ACM!AJ21</f>
        <v>-1899.23233</v>
      </c>
      <c r="AD20" s="44">
        <f>DRE_ACM!AL21-DRE_ACM!AK21</f>
        <v>-1807</v>
      </c>
      <c r="AE20" s="44">
        <f>DRE_ACM!AM21-DRE_ACM!AL21</f>
        <v>-1644</v>
      </c>
      <c r="AF20" s="13"/>
      <c r="AG20" s="44">
        <v>-4152</v>
      </c>
      <c r="AH20" s="44">
        <f>DRE_ACM!AP21-DRE_ACM!AO21</f>
        <v>-6420</v>
      </c>
      <c r="AI20" s="44">
        <f>DRE_ACM!AQ21-DRE_ACM!AP21</f>
        <v>-34088</v>
      </c>
      <c r="AJ20" s="44">
        <f>DRE_ACM!AR21-DRE_ACM!AQ21</f>
        <v>-94195</v>
      </c>
      <c r="AK20" s="13"/>
      <c r="AL20" s="44">
        <f>DRE_ACM!AT21-DRE_ACM!AS21</f>
        <v>-1092</v>
      </c>
      <c r="AM20" s="44">
        <f>DRE_ACM!AU21-DRE_ACM!AT21</f>
        <v>-4789</v>
      </c>
      <c r="AN20" s="44">
        <f>DRE_ACM!AV21-DRE_ACM!AU21</f>
        <v>-75128</v>
      </c>
      <c r="AO20" s="44">
        <f>DRE_ACM!AW21-DRE_ACM!AV21</f>
        <v>-51856</v>
      </c>
      <c r="AQ20" s="44">
        <f>DRE_ACM!AY21-DRE_ACM!AX21</f>
        <v>-58047</v>
      </c>
      <c r="AR20" s="44">
        <f>DRE_ACM!AZ21-DRE_ACM!AY21</f>
        <v>28989</v>
      </c>
    </row>
    <row r="21" spans="2:44" x14ac:dyDescent="0.25">
      <c r="B21" s="13" t="s">
        <v>91</v>
      </c>
      <c r="C21" s="44">
        <f>DRE_ACM!K22</f>
        <v>0</v>
      </c>
      <c r="D21" s="44">
        <f>DRE_ACM!L22-DRE_ACM!K22</f>
        <v>0</v>
      </c>
      <c r="E21" s="44">
        <f>DRE_ACM!M22-DRE_ACM!L22</f>
        <v>0</v>
      </c>
      <c r="F21" s="44">
        <f>DRE_ACM!N22-DRE_ACM!M22</f>
        <v>13241</v>
      </c>
      <c r="G21" s="13"/>
      <c r="H21" s="44">
        <f>DRE_ACM!P22</f>
        <v>0</v>
      </c>
      <c r="I21" s="44">
        <f>DRE_ACM!Q22-DRE_ACM!P22</f>
        <v>-7163</v>
      </c>
      <c r="J21" s="44">
        <f>DRE_ACM!R22-DRE_ACM!Q22</f>
        <v>2317</v>
      </c>
      <c r="K21" s="44">
        <f>DRE_ACM!S22-DRE_ACM!R22</f>
        <v>-1770</v>
      </c>
      <c r="L21" s="13"/>
      <c r="M21" s="44">
        <f>DRE_ACM!U22</f>
        <v>2585</v>
      </c>
      <c r="N21" s="44">
        <f>DRE_ACM!V22-DRE_ACM!U22</f>
        <v>-1184</v>
      </c>
      <c r="O21" s="44">
        <f>DRE_ACM!W22-DRE_ACM!V22</f>
        <v>-12156</v>
      </c>
      <c r="P21" s="44">
        <f>DRE_ACM!X22-DRE_ACM!W22</f>
        <v>6190</v>
      </c>
      <c r="Q21" s="13"/>
      <c r="R21" s="44">
        <f>DRE_ACM!Z22</f>
        <v>6150</v>
      </c>
      <c r="S21" s="44">
        <f>DRE_ACM!AA22-DRE_ACM!Z22</f>
        <v>-9045</v>
      </c>
      <c r="T21" s="44">
        <f>DRE_ACM!AB22-DRE_ACM!AA22</f>
        <v>-9696</v>
      </c>
      <c r="U21" s="44">
        <f>DRE_ACM!AC22-DRE_ACM!AB22</f>
        <v>80851</v>
      </c>
      <c r="V21" s="13"/>
      <c r="W21" s="44">
        <f>DRE_ACM!AE22</f>
        <v>17627</v>
      </c>
      <c r="X21" s="44">
        <f>DRE_ACM!AF22-DRE_ACM!AE22</f>
        <v>-24407</v>
      </c>
      <c r="Y21" s="44">
        <f>DRE_ACM!AG22-DRE_ACM!AF22</f>
        <v>39897</v>
      </c>
      <c r="Z21" s="44">
        <f>DRE_ACM!AH22-DRE_ACM!AG22</f>
        <v>-2110</v>
      </c>
      <c r="AA21" s="13"/>
      <c r="AB21" s="44">
        <v>9169.8834399999996</v>
      </c>
      <c r="AC21" s="44">
        <f>DRE_ACM!AK22-DRE_ACM!AJ22</f>
        <v>20878.116560000002</v>
      </c>
      <c r="AD21" s="44">
        <f>DRE_ACM!AL22-DRE_ACM!AK22</f>
        <v>104354</v>
      </c>
      <c r="AE21" s="44">
        <f>DRE_ACM!AM22-DRE_ACM!AL22</f>
        <v>16068</v>
      </c>
      <c r="AF21" s="13"/>
      <c r="AG21" s="44">
        <v>-16250</v>
      </c>
      <c r="AH21" s="44">
        <f>DRE_ACM!AP22-DRE_ACM!AO22</f>
        <v>-64445</v>
      </c>
      <c r="AI21" s="44">
        <f>DRE_ACM!AQ22-DRE_ACM!AP22</f>
        <v>-102090</v>
      </c>
      <c r="AJ21" s="44">
        <f>DRE_ACM!AR22-DRE_ACM!AQ22</f>
        <v>76979</v>
      </c>
      <c r="AK21" s="13"/>
      <c r="AL21" s="44">
        <f>DRE_ACM!AT22-DRE_ACM!AS22</f>
        <v>-55011</v>
      </c>
      <c r="AM21" s="44">
        <f>DRE_ACM!AU22-DRE_ACM!AT22</f>
        <v>-115512</v>
      </c>
      <c r="AN21" s="44">
        <f>DRE_ACM!AV22-DRE_ACM!AU22</f>
        <v>25218</v>
      </c>
      <c r="AO21" s="44">
        <f>DRE_ACM!AW22-DRE_ACM!AV22</f>
        <v>50845</v>
      </c>
      <c r="AQ21" s="44">
        <f>DRE_ACM!AY22-DRE_ACM!AX22</f>
        <v>51007</v>
      </c>
      <c r="AR21" s="44">
        <f>DRE_ACM!AZ22-DRE_ACM!AY22</f>
        <v>-50669</v>
      </c>
    </row>
    <row r="22" spans="2:44" x14ac:dyDescent="0.25">
      <c r="B22" s="10" t="s">
        <v>92</v>
      </c>
      <c r="C22" s="41">
        <f>DRE_ACM!K23</f>
        <v>19770</v>
      </c>
      <c r="D22" s="41">
        <f>DRE_ACM!L23-DRE_ACM!K23</f>
        <v>29197</v>
      </c>
      <c r="E22" s="41">
        <f>DRE_ACM!M23-DRE_ACM!L23</f>
        <v>22550</v>
      </c>
      <c r="F22" s="41">
        <f>DRE_ACM!N23-DRE_ACM!M23</f>
        <v>72076</v>
      </c>
      <c r="G22" s="10"/>
      <c r="H22" s="41">
        <f>DRE_ACM!P23</f>
        <v>14903</v>
      </c>
      <c r="I22" s="41">
        <f>DRE_ACM!Q23-DRE_ACM!P23</f>
        <v>18380</v>
      </c>
      <c r="J22" s="41">
        <f>DRE_ACM!R23-DRE_ACM!Q23</f>
        <v>33825</v>
      </c>
      <c r="K22" s="41">
        <f>DRE_ACM!S23-DRE_ACM!R23</f>
        <v>74403</v>
      </c>
      <c r="L22" s="10"/>
      <c r="M22" s="41">
        <f>DRE_ACM!U23</f>
        <v>9694</v>
      </c>
      <c r="N22" s="41">
        <f>DRE_ACM!V23-DRE_ACM!U23</f>
        <v>34458</v>
      </c>
      <c r="O22" s="41">
        <f>DRE_ACM!W23-DRE_ACM!V23</f>
        <v>124333</v>
      </c>
      <c r="P22" s="41">
        <f>DRE_ACM!X23-DRE_ACM!W23</f>
        <v>124762</v>
      </c>
      <c r="Q22" s="10"/>
      <c r="R22" s="41">
        <f>DRE_ACM!Z23</f>
        <v>51039</v>
      </c>
      <c r="S22" s="41">
        <f>DRE_ACM!AA23-DRE_ACM!Z23</f>
        <v>114276</v>
      </c>
      <c r="T22" s="41">
        <f>DRE_ACM!AB23-DRE_ACM!AA23</f>
        <v>97935</v>
      </c>
      <c r="U22" s="41">
        <f>DRE_ACM!AC23-DRE_ACM!AB23</f>
        <v>167056</v>
      </c>
      <c r="V22" s="10"/>
      <c r="W22" s="41">
        <f>DRE_ACM!AE23</f>
        <v>56782</v>
      </c>
      <c r="X22" s="41">
        <f>DRE_ACM!AF23-DRE_ACM!AE23</f>
        <v>121222</v>
      </c>
      <c r="Y22" s="41">
        <f>DRE_ACM!AG23-DRE_ACM!AF23</f>
        <v>169160</v>
      </c>
      <c r="Z22" s="41">
        <f>DRE_ACM!AH23-DRE_ACM!AG23</f>
        <v>224010</v>
      </c>
      <c r="AA22" s="10"/>
      <c r="AB22" s="41">
        <v>103339.19490839951</v>
      </c>
      <c r="AC22" s="41">
        <f>DRE_ACM!AK23-DRE_ACM!AJ23</f>
        <v>76948.805091600487</v>
      </c>
      <c r="AD22" s="41">
        <f>DRE_ACM!AL23-DRE_ACM!AK23</f>
        <v>217865</v>
      </c>
      <c r="AE22" s="41">
        <f>DRE_ACM!AM23-DRE_ACM!AL23</f>
        <v>175649</v>
      </c>
      <c r="AF22" s="10"/>
      <c r="AG22" s="41">
        <v>156438</v>
      </c>
      <c r="AH22" s="41">
        <f>DRE_ACM!AP23-DRE_ACM!AO23</f>
        <v>145644</v>
      </c>
      <c r="AI22" s="41">
        <f>DRE_ACM!AQ23-DRE_ACM!AP23</f>
        <v>318375</v>
      </c>
      <c r="AJ22" s="41">
        <f>DRE_ACM!AR23-DRE_ACM!AQ23</f>
        <v>135908</v>
      </c>
      <c r="AK22" s="10"/>
      <c r="AL22" s="41">
        <f>DRE_ACM!AT23-DRE_ACM!AS23</f>
        <v>192419</v>
      </c>
      <c r="AM22" s="41">
        <f>DRE_ACM!AU23-DRE_ACM!AT23</f>
        <v>330847</v>
      </c>
      <c r="AN22" s="41">
        <f>DRE_ACM!AV23-DRE_ACM!AU23</f>
        <v>203044</v>
      </c>
      <c r="AO22" s="41">
        <f>DRE_ACM!AW23-DRE_ACM!AV23</f>
        <v>82389</v>
      </c>
      <c r="AQ22" s="41">
        <f>DRE_ACM!AY23-DRE_ACM!AX23</f>
        <v>85175</v>
      </c>
      <c r="AR22" s="41">
        <f>DRE_ACM!AZ23-DRE_ACM!AY23</f>
        <v>205888</v>
      </c>
    </row>
    <row r="23" spans="2:44" x14ac:dyDescent="0.25">
      <c r="S23" s="37"/>
      <c r="T23" s="37"/>
      <c r="U23" s="37"/>
      <c r="X23" s="37"/>
      <c r="Y23" s="37"/>
      <c r="Z23" s="37"/>
      <c r="AC23" s="37"/>
      <c r="AD23" s="37"/>
      <c r="AE23" s="37"/>
      <c r="AH23" s="37"/>
      <c r="AI23" s="37"/>
      <c r="AJ23" s="37"/>
      <c r="AL23" s="37"/>
      <c r="AM23" s="37"/>
      <c r="AN23" s="37"/>
      <c r="AO23" s="37"/>
      <c r="AQ23" s="37"/>
    </row>
    <row r="24" spans="2:44" x14ac:dyDescent="0.25">
      <c r="B24" s="53" t="s">
        <v>93</v>
      </c>
      <c r="C24" s="44">
        <f>DRE_ACM!K25</f>
        <v>0</v>
      </c>
      <c r="D24" s="44">
        <f>DRE_ACM!L25-DRE_ACM!K25</f>
        <v>0</v>
      </c>
      <c r="E24" s="44">
        <f>DRE_ACM!M25-DRE_ACM!L25</f>
        <v>0</v>
      </c>
      <c r="F24" s="44">
        <f>DRE_ACM!N25-DRE_ACM!M25</f>
        <v>12692</v>
      </c>
      <c r="G24" s="53"/>
      <c r="H24" s="44">
        <f>DRE_ACM!P25</f>
        <v>287</v>
      </c>
      <c r="I24" s="44">
        <f>DRE_ACM!Q25-DRE_ACM!P25</f>
        <v>396</v>
      </c>
      <c r="J24" s="44">
        <f>DRE_ACM!R25-DRE_ACM!Q25</f>
        <v>471</v>
      </c>
      <c r="K24" s="44">
        <f>DRE_ACM!S25-DRE_ACM!R25</f>
        <v>15634</v>
      </c>
      <c r="L24" s="53"/>
      <c r="M24" s="44">
        <f>DRE_ACM!U25</f>
        <v>5947</v>
      </c>
      <c r="N24" s="44">
        <f>DRE_ACM!V25-DRE_ACM!U25</f>
        <v>5106</v>
      </c>
      <c r="O24" s="44">
        <f>DRE_ACM!W25-DRE_ACM!V25</f>
        <v>4965</v>
      </c>
      <c r="P24" s="44">
        <f>DRE_ACM!X25-DRE_ACM!W25</f>
        <v>5624</v>
      </c>
      <c r="Q24" s="53"/>
      <c r="R24" s="44">
        <f>DRE_ACM!Z25</f>
        <v>5759</v>
      </c>
      <c r="S24" s="44">
        <f>DRE_ACM!AA25-DRE_ACM!Z25</f>
        <v>6830</v>
      </c>
      <c r="T24" s="44">
        <f>DRE_ACM!AB25-DRE_ACM!AA25</f>
        <v>7163</v>
      </c>
      <c r="U24" s="44">
        <f>DRE_ACM!AC25-DRE_ACM!AB25</f>
        <v>7712</v>
      </c>
      <c r="V24" s="53"/>
      <c r="W24" s="44">
        <f>DRE_ACM!AE25</f>
        <v>8060</v>
      </c>
      <c r="X24" s="44">
        <f>DRE_ACM!AF25-DRE_ACM!AE25</f>
        <v>8884.9261899999983</v>
      </c>
      <c r="Y24" s="44">
        <f>DRE_ACM!AG25-DRE_ACM!AF25</f>
        <v>9969.0738100000017</v>
      </c>
      <c r="Z24" s="44">
        <f>DRE_ACM!AH25-DRE_ACM!AG25</f>
        <v>10832</v>
      </c>
      <c r="AA24" s="53"/>
      <c r="AB24" s="44">
        <v>11823</v>
      </c>
      <c r="AC24" s="44">
        <f>DRE_ACM!AK25-DRE_ACM!AJ25</f>
        <v>12666</v>
      </c>
      <c r="AD24" s="44">
        <f>DRE_ACM!AL25-DRE_ACM!AK25</f>
        <v>15962</v>
      </c>
      <c r="AE24" s="44">
        <f>DRE_ACM!AM25-DRE_ACM!AL25</f>
        <v>17146</v>
      </c>
      <c r="AF24" s="53"/>
      <c r="AG24" s="44">
        <v>22867</v>
      </c>
      <c r="AH24" s="44">
        <f>DRE_ACM!AP25-DRE_ACM!AO25</f>
        <v>21918</v>
      </c>
      <c r="AI24" s="44">
        <f>DRE_ACM!AQ25-DRE_ACM!AP25</f>
        <v>24195</v>
      </c>
      <c r="AJ24" s="44">
        <f>DRE_ACM!AR25-DRE_ACM!AQ25</f>
        <v>26383</v>
      </c>
      <c r="AK24" s="53"/>
      <c r="AL24" s="44">
        <f>DRE_ACM!AT25-DRE_ACM!AS25</f>
        <v>27784</v>
      </c>
      <c r="AM24" s="44">
        <f>DRE_ACM!AU25-DRE_ACM!AT25</f>
        <v>29236</v>
      </c>
      <c r="AN24" s="44">
        <f>DRE_ACM!AV25-DRE_ACM!AU25</f>
        <v>30250</v>
      </c>
      <c r="AO24" s="44">
        <f>DRE_ACM!AW25-DRE_ACM!AV25</f>
        <v>32118</v>
      </c>
      <c r="AQ24" s="44">
        <f>DRE_ACM!AY25-DRE_ACM!AX25</f>
        <v>36099</v>
      </c>
      <c r="AR24" s="44">
        <f>DRE_ACM!AZ25-DRE_ACM!AY25</f>
        <v>46153</v>
      </c>
    </row>
    <row r="25" spans="2:44" x14ac:dyDescent="0.25">
      <c r="B25" s="53"/>
      <c r="C25" s="44"/>
      <c r="D25" s="44"/>
      <c r="E25" s="44"/>
      <c r="F25" s="44"/>
      <c r="G25" s="53"/>
      <c r="H25" s="44"/>
      <c r="I25" s="44"/>
      <c r="J25" s="44"/>
      <c r="K25" s="44"/>
      <c r="L25" s="53"/>
      <c r="M25" s="44"/>
      <c r="N25" s="44"/>
      <c r="O25" s="44"/>
      <c r="P25" s="44"/>
      <c r="Q25" s="53"/>
      <c r="R25" s="44"/>
      <c r="S25" s="44"/>
      <c r="T25" s="44"/>
      <c r="U25" s="44"/>
      <c r="V25" s="53"/>
      <c r="W25" s="44"/>
      <c r="X25" s="44"/>
      <c r="Y25" s="44"/>
      <c r="Z25" s="44"/>
      <c r="AA25" s="53"/>
      <c r="AB25" s="44"/>
      <c r="AC25" s="44"/>
      <c r="AD25" s="44"/>
      <c r="AE25" s="44"/>
      <c r="AF25" s="53"/>
      <c r="AG25" s="44"/>
      <c r="AH25" s="44"/>
      <c r="AI25" s="44"/>
      <c r="AJ25" s="44"/>
      <c r="AK25" s="53"/>
      <c r="AL25" s="44"/>
      <c r="AM25" s="44"/>
      <c r="AN25" s="44"/>
      <c r="AO25" s="44"/>
      <c r="AQ25" s="44"/>
    </row>
    <row r="26" spans="2:44" x14ac:dyDescent="0.25">
      <c r="B26" s="10" t="s">
        <v>196</v>
      </c>
      <c r="C26" s="41">
        <f>DRE_ACM!K27</f>
        <v>32426</v>
      </c>
      <c r="D26" s="41">
        <f>DRE_ACM!L27-DRE_ACM!K27</f>
        <v>56225</v>
      </c>
      <c r="E26" s="41">
        <f>DRE_ACM!M27-DRE_ACM!L27</f>
        <v>39380</v>
      </c>
      <c r="F26" s="41">
        <f>DRE_ACM!N27-DRE_ACM!M27</f>
        <v>62887</v>
      </c>
      <c r="G26" s="10"/>
      <c r="H26" s="41">
        <f>DRE_ACM!P27</f>
        <v>17843</v>
      </c>
      <c r="I26" s="41">
        <f>DRE_ACM!Q27-DRE_ACM!P27</f>
        <v>16578</v>
      </c>
      <c r="J26" s="41">
        <f>DRE_ACM!R27-DRE_ACM!Q27</f>
        <v>42576</v>
      </c>
      <c r="K26" s="41">
        <f>DRE_ACM!S27-DRE_ACM!R27</f>
        <v>112608</v>
      </c>
      <c r="L26" s="10"/>
      <c r="M26" s="41">
        <f>DRE_ACM!U27</f>
        <v>34526</v>
      </c>
      <c r="N26" s="41">
        <f>DRE_ACM!V27-DRE_ACM!U27</f>
        <v>78645</v>
      </c>
      <c r="O26" s="41">
        <f>DRE_ACM!W27-DRE_ACM!V27</f>
        <v>131538</v>
      </c>
      <c r="P26" s="41">
        <f>DRE_ACM!X27-DRE_ACM!W27</f>
        <v>172728</v>
      </c>
      <c r="Q26" s="10"/>
      <c r="R26" s="41">
        <f>DRE_ACM!Z27</f>
        <v>55733</v>
      </c>
      <c r="S26" s="41">
        <f>DRE_ACM!AA27-DRE_ACM!Z27</f>
        <v>122339</v>
      </c>
      <c r="T26" s="41">
        <f>DRE_ACM!AB27-DRE_ACM!AA27</f>
        <v>119436</v>
      </c>
      <c r="U26" s="41">
        <f>DRE_ACM!AC27-DRE_ACM!AB27</f>
        <v>83550</v>
      </c>
      <c r="V26" s="10"/>
      <c r="W26" s="41">
        <f>DRE_ACM!AE27</f>
        <v>54560</v>
      </c>
      <c r="X26" s="41">
        <f>DRE_ACM!AF27-DRE_ACM!AE27</f>
        <v>162674.92619</v>
      </c>
      <c r="Y26" s="41">
        <f>DRE_ACM!AG27-DRE_ACM!AF27</f>
        <v>108988.07381</v>
      </c>
      <c r="Z26" s="41">
        <f>DRE_ACM!AH27-DRE_ACM!AG27</f>
        <v>249174</v>
      </c>
      <c r="AA26" s="10"/>
      <c r="AB26" s="41">
        <v>122484.95477839952</v>
      </c>
      <c r="AC26" s="41">
        <f>DRE_ACM!AK27-DRE_ACM!AJ27</f>
        <v>53506.045221600478</v>
      </c>
      <c r="AD26" s="41">
        <f>DRE_ACM!AL27-DRE_ACM!AK27</f>
        <v>177688</v>
      </c>
      <c r="AE26" s="41">
        <f>DRE_ACM!AM27-DRE_ACM!AL27</f>
        <v>145608</v>
      </c>
      <c r="AF26" s="10"/>
      <c r="AG26" s="41">
        <v>208771</v>
      </c>
      <c r="AH26" s="41">
        <f>DRE_ACM!AP27-DRE_ACM!AO27</f>
        <v>400532</v>
      </c>
      <c r="AI26" s="41">
        <f>DRE_ACM!AQ27-DRE_ACM!AP27</f>
        <v>365397</v>
      </c>
      <c r="AJ26" s="41">
        <f>DRE_ACM!AR27-DRE_ACM!AQ27</f>
        <v>365961</v>
      </c>
      <c r="AK26" s="10"/>
      <c r="AL26" s="41">
        <f>DRE_ACM!AT27-DRE_ACM!AS27</f>
        <v>164721</v>
      </c>
      <c r="AM26" s="41">
        <f>DRE_ACM!AU27-DRE_ACM!AT27</f>
        <v>330153</v>
      </c>
      <c r="AN26" s="41">
        <f>DRE_ACM!AV27-DRE_ACM!AU27</f>
        <v>33997</v>
      </c>
      <c r="AO26" s="41">
        <f>DRE_ACM!AW27-DRE_ACM!AV27</f>
        <v>129505</v>
      </c>
      <c r="AQ26" s="41">
        <f>DRE_ACM!AY27-DRE_ACM!AX27</f>
        <v>138713</v>
      </c>
      <c r="AR26" s="41">
        <f>DRE_ACM!AZ27-DRE_ACM!AY27</f>
        <v>204596</v>
      </c>
    </row>
    <row r="27" spans="2:44" x14ac:dyDescent="0.25">
      <c r="B27" s="10" t="s">
        <v>94</v>
      </c>
      <c r="C27" s="41">
        <f>DRE_ACM!K28</f>
        <v>0</v>
      </c>
      <c r="D27" s="41">
        <f>DRE_ACM!L28-DRE_ACM!K28</f>
        <v>0</v>
      </c>
      <c r="E27" s="41">
        <f>DRE_ACM!M28-DRE_ACM!L28</f>
        <v>0</v>
      </c>
      <c r="F27" s="41">
        <f>DRE_ACM!N28-DRE_ACM!M28</f>
        <v>-32535</v>
      </c>
      <c r="G27" s="10"/>
      <c r="H27" s="41">
        <f>DRE_ACM!P28</f>
        <v>-1450</v>
      </c>
      <c r="I27" s="41">
        <f>DRE_ACM!Q28-DRE_ACM!P28</f>
        <v>4914</v>
      </c>
      <c r="J27" s="41">
        <f>DRE_ACM!R28-DRE_ACM!Q28</f>
        <v>-4186</v>
      </c>
      <c r="K27" s="41">
        <f>DRE_ACM!S28-DRE_ACM!R28</f>
        <v>394</v>
      </c>
      <c r="L27" s="10"/>
      <c r="M27" s="41">
        <f>DRE_ACM!U28</f>
        <v>-8426</v>
      </c>
      <c r="N27" s="41">
        <f>DRE_ACM!V28-DRE_ACM!U28</f>
        <v>21484</v>
      </c>
      <c r="O27" s="41">
        <f>DRE_ACM!W28-DRE_ACM!V28</f>
        <v>14978</v>
      </c>
      <c r="P27" s="41">
        <f>DRE_ACM!X28-DRE_ACM!W28</f>
        <v>-12213</v>
      </c>
      <c r="Q27" s="10"/>
      <c r="R27" s="41">
        <f>DRE_ACM!Z28</f>
        <v>-14653</v>
      </c>
      <c r="S27" s="41">
        <f>DRE_ACM!AA28-DRE_ACM!Z28</f>
        <v>22627</v>
      </c>
      <c r="T27" s="41">
        <f>DRE_ACM!AB28-DRE_ACM!AA28</f>
        <v>-28121</v>
      </c>
      <c r="U27" s="41">
        <f>DRE_ACM!AC28-DRE_ACM!AB28</f>
        <v>-93724</v>
      </c>
      <c r="V27" s="10"/>
      <c r="W27" s="41">
        <f>DRE_ACM!AE28</f>
        <v>-41559</v>
      </c>
      <c r="X27" s="41">
        <f>DRE_ACM!AF28-DRE_ACM!AE28</f>
        <v>65589</v>
      </c>
      <c r="Y27" s="41">
        <f>DRE_ACM!AG28-DRE_ACM!AF28</f>
        <v>-26187.039779999959</v>
      </c>
      <c r="Z27" s="41">
        <f>DRE_ACM!AH28-DRE_ACM!AG28</f>
        <v>-45542.960220000037</v>
      </c>
      <c r="AA27" s="10"/>
      <c r="AB27" s="41">
        <v>14754.7783</v>
      </c>
      <c r="AC27" s="41">
        <f>DRE_ACM!AK28-DRE_ACM!AJ28</f>
        <v>9654.2217000000001</v>
      </c>
      <c r="AD27" s="41">
        <f>DRE_ACM!AL28-DRE_ACM!AK28</f>
        <v>61341</v>
      </c>
      <c r="AE27" s="41">
        <f>DRE_ACM!AM28-DRE_ACM!AL28</f>
        <v>-69878</v>
      </c>
      <c r="AF27" s="10"/>
      <c r="AG27" s="41">
        <v>70920</v>
      </c>
      <c r="AH27" s="41">
        <f>DRE_ACM!AP28-DRE_ACM!AO28</f>
        <v>317126</v>
      </c>
      <c r="AI27" s="41">
        <f>DRE_ACM!AQ28-DRE_ACM!AP28</f>
        <v>23368</v>
      </c>
      <c r="AJ27" s="41">
        <f>DRE_ACM!AR28-DRE_ACM!AQ28</f>
        <v>-44350.912440000044</v>
      </c>
      <c r="AK27" s="10"/>
      <c r="AL27" s="41">
        <f>DRE_ACM!AT28-DRE_ACM!AS28</f>
        <v>-124148.87530999997</v>
      </c>
      <c r="AM27" s="41">
        <f>DRE_ACM!AU28-DRE_ACM!AT28</f>
        <v>147765.87530999997</v>
      </c>
      <c r="AN27" s="41">
        <f>DRE_ACM!AV28-DRE_ACM!AU28</f>
        <v>-132287</v>
      </c>
      <c r="AO27" s="41">
        <f>DRE_ACM!AW28-DRE_ACM!AV28</f>
        <v>48210</v>
      </c>
      <c r="AQ27" s="41">
        <f>DRE_ACM!AY28-DRE_ACM!AX28</f>
        <v>-157124</v>
      </c>
      <c r="AR27" s="41">
        <f>DRE_ACM!AZ28-DRE_ACM!AY28</f>
        <v>265730</v>
      </c>
    </row>
    <row r="28" spans="2:44" x14ac:dyDescent="0.25">
      <c r="B28" s="10" t="s">
        <v>224</v>
      </c>
      <c r="C28" s="41">
        <f>DRE_ACM!K29</f>
        <v>32426</v>
      </c>
      <c r="D28" s="41">
        <f>DRE_ACM!L29-DRE_ACM!K29</f>
        <v>56225</v>
      </c>
      <c r="E28" s="41">
        <f>DRE_ACM!M29-DRE_ACM!L29</f>
        <v>39380</v>
      </c>
      <c r="F28" s="41">
        <f>DRE_ACM!N29-DRE_ACM!M29</f>
        <v>95422</v>
      </c>
      <c r="G28" s="10"/>
      <c r="H28" s="41">
        <f>DRE_ACM!P29</f>
        <v>19293</v>
      </c>
      <c r="I28" s="41">
        <f>DRE_ACM!Q29-DRE_ACM!P29</f>
        <v>11664</v>
      </c>
      <c r="J28" s="41">
        <f>DRE_ACM!R29-DRE_ACM!Q29</f>
        <v>46040</v>
      </c>
      <c r="K28" s="41">
        <f>DRE_ACM!S29-DRE_ACM!R29</f>
        <v>112937</v>
      </c>
      <c r="L28" s="10"/>
      <c r="M28" s="41">
        <f>DRE_ACM!U29</f>
        <v>42952</v>
      </c>
      <c r="N28" s="41">
        <f>DRE_ACM!V29-DRE_ACM!U29</f>
        <v>57161</v>
      </c>
      <c r="O28" s="41">
        <f>DRE_ACM!W29-DRE_ACM!V29</f>
        <v>116560</v>
      </c>
      <c r="P28" s="41">
        <f>DRE_ACM!X29-DRE_ACM!W29</f>
        <v>184941</v>
      </c>
      <c r="Q28" s="10"/>
      <c r="R28" s="41">
        <f>DRE_ACM!Z29</f>
        <v>70386</v>
      </c>
      <c r="S28" s="41">
        <f>DRE_ACM!AA29-DRE_ACM!Z29</f>
        <v>99712</v>
      </c>
      <c r="T28" s="41">
        <f>DRE_ACM!AB29-DRE_ACM!AA29</f>
        <v>147557</v>
      </c>
      <c r="U28" s="41">
        <f>DRE_ACM!AC29-DRE_ACM!AB29</f>
        <v>177274</v>
      </c>
      <c r="V28" s="10"/>
      <c r="W28" s="41">
        <f>DRE_ACM!AE29</f>
        <v>96119</v>
      </c>
      <c r="X28" s="41">
        <f>DRE_ACM!AF29-DRE_ACM!AE29</f>
        <v>97085.926189999998</v>
      </c>
      <c r="Y28" s="41">
        <f>DRE_ACM!AG29-DRE_ACM!AF29</f>
        <v>135175.11358999994</v>
      </c>
      <c r="Z28" s="41">
        <f>DRE_ACM!AH29-DRE_ACM!AG29</f>
        <v>294716.96022000007</v>
      </c>
      <c r="AA28" s="10"/>
      <c r="AB28" s="41">
        <v>107730.17647839952</v>
      </c>
      <c r="AC28" s="41">
        <f>DRE_ACM!AK29-DRE_ACM!AJ29</f>
        <v>43851.823521600483</v>
      </c>
      <c r="AD28" s="41">
        <f>DRE_ACM!AL29-DRE_ACM!AK29</f>
        <v>116347</v>
      </c>
      <c r="AE28" s="41">
        <f>DRE_ACM!AM29-DRE_ACM!AL29</f>
        <v>215486</v>
      </c>
      <c r="AF28" s="10"/>
      <c r="AG28" s="41">
        <v>137851</v>
      </c>
      <c r="AH28" s="41">
        <f>DRE_ACM!AP29-DRE_ACM!AO29</f>
        <v>83406</v>
      </c>
      <c r="AI28" s="41">
        <f>DRE_ACM!AQ29-DRE_ACM!AP29</f>
        <v>342029</v>
      </c>
      <c r="AJ28" s="41">
        <f>DRE_ACM!AR29-DRE_ACM!AQ29</f>
        <v>410311.9124400001</v>
      </c>
      <c r="AK28" s="10"/>
      <c r="AL28" s="41">
        <f>DRE_ACM!AT29-DRE_ACM!AS29</f>
        <v>288869.87530999997</v>
      </c>
      <c r="AM28" s="41">
        <f>DRE_ACM!AU29-DRE_ACM!AT29</f>
        <v>182387.12469000003</v>
      </c>
      <c r="AN28" s="41">
        <f>DRE_ACM!AV29-DRE_ACM!AU29</f>
        <v>166284</v>
      </c>
      <c r="AO28" s="41">
        <f>DRE_ACM!AW29-DRE_ACM!AV29</f>
        <v>81295</v>
      </c>
      <c r="AQ28" s="41">
        <f>DRE_ACM!AY29-DRE_ACM!AX29</f>
        <v>295837</v>
      </c>
      <c r="AR28" s="41">
        <f>DRE_ACM!AZ29-DRE_ACM!AY29</f>
        <v>-61134</v>
      </c>
    </row>
    <row r="29" spans="2:44" x14ac:dyDescent="0.25">
      <c r="B29" s="10"/>
      <c r="C29" s="55"/>
      <c r="D29" s="55"/>
      <c r="E29" s="55"/>
      <c r="F29" s="55"/>
      <c r="G29" s="10"/>
      <c r="H29" s="55"/>
      <c r="I29" s="55"/>
      <c r="J29" s="55"/>
      <c r="K29" s="55"/>
      <c r="L29" s="10"/>
      <c r="M29" s="55"/>
      <c r="N29" s="55"/>
      <c r="O29" s="55"/>
      <c r="P29" s="55"/>
      <c r="Q29" s="10"/>
      <c r="R29" s="56"/>
      <c r="S29" s="56"/>
      <c r="T29" s="56"/>
      <c r="U29" s="56"/>
      <c r="V29" s="10"/>
      <c r="W29" s="56"/>
      <c r="X29" s="56"/>
      <c r="Y29" s="56"/>
      <c r="Z29" s="56"/>
      <c r="AA29" s="10"/>
      <c r="AB29" s="56"/>
      <c r="AC29" s="56"/>
      <c r="AD29" s="56"/>
      <c r="AE29" s="56"/>
      <c r="AF29" s="10"/>
      <c r="AG29" s="56"/>
      <c r="AH29" s="56"/>
      <c r="AI29" s="56"/>
      <c r="AJ29" s="56"/>
      <c r="AK29" s="10"/>
      <c r="AL29" s="56"/>
      <c r="AM29" s="56"/>
      <c r="AN29" s="56"/>
      <c r="AO29" s="5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0B507-D734-400C-9BB0-0DCB4BFAF6F4}">
  <sheetPr>
    <tabColor theme="4" tint="0.39997558519241921"/>
  </sheetPr>
  <dimension ref="B2:AR159"/>
  <sheetViews>
    <sheetView zoomScaleNormal="100" workbookViewId="0">
      <pane xSplit="2" ySplit="3" topLeftCell="AH4" activePane="bottomRight" state="frozen"/>
      <selection pane="topRight" activeCell="C1" sqref="C1"/>
      <selection pane="bottomLeft" activeCell="A4" sqref="A4"/>
      <selection pane="bottomRight" activeCell="AS19" sqref="AS19"/>
    </sheetView>
  </sheetViews>
  <sheetFormatPr defaultColWidth="9.109375" defaultRowHeight="13.2" x14ac:dyDescent="0.25"/>
  <cols>
    <col min="1" max="1" width="1.44140625" style="22" customWidth="1"/>
    <col min="2" max="2" width="82.44140625" style="22" customWidth="1"/>
    <col min="3" max="11" width="12.6640625" style="22" customWidth="1"/>
    <col min="12" max="12" width="1.6640625" style="22" customWidth="1"/>
    <col min="13" max="16" width="12.6640625" style="22" customWidth="1"/>
    <col min="17" max="17" width="1.6640625" style="22" customWidth="1"/>
    <col min="18" max="21" width="12.6640625" style="22" customWidth="1"/>
    <col min="22" max="22" width="1.6640625" style="22" customWidth="1"/>
    <col min="23" max="26" width="12.6640625" style="22" customWidth="1"/>
    <col min="27" max="27" width="1.6640625" style="22" customWidth="1"/>
    <col min="28" max="31" width="12.6640625" style="22" customWidth="1"/>
    <col min="32" max="32" width="1.6640625" style="22" customWidth="1"/>
    <col min="33" max="33" width="12.6640625" style="22" customWidth="1"/>
    <col min="34" max="34" width="10.44140625" style="22" bestFit="1" customWidth="1"/>
    <col min="35" max="35" width="11.109375" style="22" bestFit="1" customWidth="1"/>
    <col min="36" max="36" width="12.6640625" style="22" customWidth="1"/>
    <col min="37" max="37" width="1.6640625" style="22" customWidth="1"/>
    <col min="38" max="39" width="12.6640625" style="22" customWidth="1"/>
    <col min="40" max="40" width="11.109375" style="22" customWidth="1"/>
    <col min="41" max="41" width="12.6640625" style="22" customWidth="1"/>
    <col min="42" max="42" width="1.6640625" style="22" customWidth="1"/>
    <col min="43" max="43" width="12.6640625" style="22" customWidth="1"/>
    <col min="44" max="44" width="11.109375" style="22" bestFit="1" customWidth="1"/>
    <col min="45" max="16384" width="9.109375" style="22"/>
  </cols>
  <sheetData>
    <row r="2" spans="2:44" ht="15" customHeight="1" x14ac:dyDescent="0.25">
      <c r="B2" s="58" t="s">
        <v>110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166"/>
    </row>
    <row r="3" spans="2:44" x14ac:dyDescent="0.25">
      <c r="B3" s="58" t="s">
        <v>111</v>
      </c>
      <c r="C3" s="60" t="s">
        <v>56</v>
      </c>
      <c r="D3" s="60" t="s">
        <v>57</v>
      </c>
      <c r="E3" s="60" t="s">
        <v>58</v>
      </c>
      <c r="F3" s="60" t="s">
        <v>59</v>
      </c>
      <c r="G3" s="60" t="s">
        <v>60</v>
      </c>
      <c r="H3" s="60" t="s">
        <v>61</v>
      </c>
      <c r="I3" s="60" t="s">
        <v>62</v>
      </c>
      <c r="J3" s="60" t="s">
        <v>66</v>
      </c>
      <c r="K3" s="60" t="s">
        <v>70</v>
      </c>
      <c r="M3" s="60" t="s">
        <v>71</v>
      </c>
      <c r="N3" s="60" t="s">
        <v>72</v>
      </c>
      <c r="O3" s="60" t="s">
        <v>73</v>
      </c>
      <c r="P3" s="60" t="s">
        <v>74</v>
      </c>
      <c r="R3" s="60" t="s">
        <v>75</v>
      </c>
      <c r="S3" s="60" t="s">
        <v>76</v>
      </c>
      <c r="T3" s="60" t="s">
        <v>77</v>
      </c>
      <c r="U3" s="60" t="s">
        <v>222</v>
      </c>
      <c r="W3" s="60" t="s">
        <v>228</v>
      </c>
      <c r="X3" s="60" t="s">
        <v>232</v>
      </c>
      <c r="Y3" s="60" t="s">
        <v>235</v>
      </c>
      <c r="Z3" s="60" t="s">
        <v>241</v>
      </c>
      <c r="AB3" s="60" t="s">
        <v>249</v>
      </c>
      <c r="AC3" s="60" t="s">
        <v>250</v>
      </c>
      <c r="AD3" s="60" t="s">
        <v>251</v>
      </c>
      <c r="AE3" s="60" t="s">
        <v>252</v>
      </c>
      <c r="AG3" s="60" t="s">
        <v>268</v>
      </c>
      <c r="AH3" s="60" t="s">
        <v>269</v>
      </c>
      <c r="AI3" s="60" t="s">
        <v>270</v>
      </c>
      <c r="AJ3" s="60" t="s">
        <v>271</v>
      </c>
      <c r="AL3" s="60" t="s">
        <v>285</v>
      </c>
      <c r="AM3" s="60" t="s">
        <v>286</v>
      </c>
      <c r="AN3" s="60" t="s">
        <v>287</v>
      </c>
      <c r="AO3" s="60" t="s">
        <v>288</v>
      </c>
      <c r="AQ3" s="60" t="s">
        <v>342</v>
      </c>
      <c r="AR3" s="60" t="s">
        <v>349</v>
      </c>
    </row>
    <row r="4" spans="2:44" ht="15" customHeight="1" x14ac:dyDescent="0.25"/>
    <row r="5" spans="2:44" ht="15" customHeight="1" x14ac:dyDescent="0.25">
      <c r="B5" s="23" t="s">
        <v>112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</row>
    <row r="6" spans="2:44" s="23" customFormat="1" ht="15" customHeight="1" x14ac:dyDescent="0.25">
      <c r="B6" s="23" t="s">
        <v>259</v>
      </c>
      <c r="C6" s="65">
        <v>14429</v>
      </c>
      <c r="D6" s="65">
        <v>15406</v>
      </c>
      <c r="E6" s="65">
        <v>14100</v>
      </c>
      <c r="F6" s="65">
        <v>36990</v>
      </c>
      <c r="G6" s="65">
        <v>16002</v>
      </c>
      <c r="H6" s="65">
        <v>40941</v>
      </c>
      <c r="I6" s="65">
        <v>27312</v>
      </c>
      <c r="J6" s="65">
        <v>117822</v>
      </c>
      <c r="K6" s="65">
        <v>126169</v>
      </c>
      <c r="M6" s="65">
        <v>-1383</v>
      </c>
      <c r="N6" s="61">
        <v>35750</v>
      </c>
      <c r="O6" s="61">
        <v>134697</v>
      </c>
      <c r="P6" s="61">
        <v>255443</v>
      </c>
      <c r="R6" s="61">
        <v>44889</v>
      </c>
      <c r="S6" s="61">
        <v>184865</v>
      </c>
      <c r="T6" s="61">
        <v>281830</v>
      </c>
      <c r="U6" s="61">
        <v>379837</v>
      </c>
      <c r="W6" s="61">
        <v>52263.5775100014</v>
      </c>
      <c r="X6" s="61">
        <v>212452</v>
      </c>
      <c r="Y6" s="61">
        <v>314039</v>
      </c>
      <c r="Z6" s="61">
        <v>540321</v>
      </c>
      <c r="AB6" s="61">
        <v>94207.079138399538</v>
      </c>
      <c r="AC6" s="61">
        <v>152177</v>
      </c>
      <c r="AD6" s="61">
        <v>267495</v>
      </c>
      <c r="AE6" s="61">
        <v>428720</v>
      </c>
      <c r="AG6" s="61">
        <v>176840</v>
      </c>
      <c r="AH6" s="61">
        <v>393349</v>
      </c>
      <c r="AI6" s="61">
        <v>847902</v>
      </c>
      <c r="AJ6" s="61">
        <v>1001026</v>
      </c>
      <c r="AL6" s="61">
        <v>248522</v>
      </c>
      <c r="AM6" s="61">
        <v>699670</v>
      </c>
      <c r="AN6" s="61">
        <v>952624</v>
      </c>
      <c r="AO6" s="153">
        <v>1036024</v>
      </c>
      <c r="AQ6" s="61">
        <v>92215</v>
      </c>
      <c r="AR6" s="61">
        <v>319783</v>
      </c>
    </row>
    <row r="7" spans="2:44" ht="8.1" customHeight="1" x14ac:dyDescent="0.25">
      <c r="B7" s="23"/>
      <c r="C7" s="18"/>
      <c r="D7" s="18"/>
      <c r="E7" s="18"/>
      <c r="F7" s="18"/>
      <c r="G7" s="18"/>
      <c r="H7" s="18"/>
      <c r="I7" s="18"/>
      <c r="J7" s="18"/>
      <c r="K7" s="18"/>
      <c r="M7" s="18"/>
      <c r="N7" s="18"/>
      <c r="O7" s="18"/>
      <c r="P7" s="18"/>
      <c r="R7" s="18"/>
      <c r="S7" s="18"/>
      <c r="T7" s="18"/>
      <c r="U7" s="18"/>
      <c r="W7" s="18"/>
      <c r="X7" s="18"/>
      <c r="Y7" s="18"/>
      <c r="Z7" s="18"/>
      <c r="AB7" s="18"/>
      <c r="AC7" s="18"/>
      <c r="AD7" s="18"/>
      <c r="AE7" s="18"/>
      <c r="AG7" s="18"/>
      <c r="AH7" s="18"/>
      <c r="AI7" s="18"/>
      <c r="AJ7" s="18"/>
      <c r="AL7" s="18"/>
      <c r="AM7" s="18"/>
      <c r="AN7" s="18"/>
      <c r="AO7" s="18"/>
      <c r="AQ7" s="18"/>
    </row>
    <row r="8" spans="2:44" s="23" customFormat="1" ht="15" customHeight="1" x14ac:dyDescent="0.25">
      <c r="B8" s="23" t="s">
        <v>113</v>
      </c>
      <c r="C8" s="61"/>
      <c r="D8" s="61"/>
      <c r="E8" s="61"/>
      <c r="F8" s="61"/>
      <c r="G8" s="61"/>
      <c r="H8" s="61"/>
      <c r="I8" s="61"/>
      <c r="J8" s="61"/>
      <c r="K8" s="61"/>
      <c r="M8" s="61"/>
      <c r="N8" s="61"/>
      <c r="O8" s="61"/>
      <c r="P8" s="61"/>
      <c r="R8" s="61"/>
      <c r="S8" s="61"/>
      <c r="T8" s="61"/>
      <c r="U8" s="61"/>
      <c r="W8" s="61"/>
      <c r="X8" s="61"/>
      <c r="Y8" s="61"/>
      <c r="Z8" s="61"/>
      <c r="AB8" s="61"/>
      <c r="AC8" s="61"/>
      <c r="AD8" s="61"/>
      <c r="AE8" s="61"/>
      <c r="AG8" s="61"/>
      <c r="AH8" s="61"/>
      <c r="AI8" s="61"/>
      <c r="AJ8" s="61"/>
      <c r="AL8" s="61"/>
      <c r="AM8" s="61"/>
      <c r="AN8" s="61"/>
      <c r="AO8" s="61"/>
      <c r="AQ8" s="61"/>
    </row>
    <row r="9" spans="2:44" ht="15" customHeight="1" x14ac:dyDescent="0.25">
      <c r="B9" s="62" t="s">
        <v>114</v>
      </c>
      <c r="C9" s="63">
        <v>3584</v>
      </c>
      <c r="D9" s="63">
        <v>2011</v>
      </c>
      <c r="E9" s="63">
        <v>5922</v>
      </c>
      <c r="F9" s="63">
        <v>10106</v>
      </c>
      <c r="G9" s="63">
        <v>10954</v>
      </c>
      <c r="H9" s="63">
        <v>10471</v>
      </c>
      <c r="I9" s="63">
        <v>13683</v>
      </c>
      <c r="J9" s="63">
        <v>11970</v>
      </c>
      <c r="K9" s="63">
        <v>12738</v>
      </c>
      <c r="M9" s="63">
        <v>4917</v>
      </c>
      <c r="N9" s="63">
        <v>8955</v>
      </c>
      <c r="O9" s="63">
        <v>12810</v>
      </c>
      <c r="P9" s="63">
        <v>17496</v>
      </c>
      <c r="Q9" s="63"/>
      <c r="R9" s="63">
        <v>5176</v>
      </c>
      <c r="S9" s="63">
        <v>10746</v>
      </c>
      <c r="T9" s="63">
        <v>16763</v>
      </c>
      <c r="U9" s="63">
        <v>23345</v>
      </c>
      <c r="V9" s="63"/>
      <c r="W9" s="63">
        <v>6945</v>
      </c>
      <c r="X9" s="63">
        <v>14750</v>
      </c>
      <c r="Y9" s="63">
        <v>23517</v>
      </c>
      <c r="Z9" s="63">
        <v>33012</v>
      </c>
      <c r="AA9" s="63"/>
      <c r="AB9" s="63">
        <v>10521.107670000001</v>
      </c>
      <c r="AC9" s="63">
        <v>21657</v>
      </c>
      <c r="AD9" s="63">
        <v>35795</v>
      </c>
      <c r="AE9" s="63">
        <v>51268</v>
      </c>
      <c r="AF9" s="63"/>
      <c r="AG9" s="63">
        <v>21117</v>
      </c>
      <c r="AH9" s="37">
        <v>42253</v>
      </c>
      <c r="AI9" s="63">
        <v>65654</v>
      </c>
      <c r="AJ9" s="63">
        <v>90788</v>
      </c>
      <c r="AK9" s="63"/>
      <c r="AL9" s="63">
        <v>25920</v>
      </c>
      <c r="AM9" s="37">
        <v>53184</v>
      </c>
      <c r="AN9" s="63">
        <v>81641</v>
      </c>
      <c r="AO9" s="113">
        <v>112088</v>
      </c>
      <c r="AP9" s="63"/>
      <c r="AQ9" s="63">
        <v>34157</v>
      </c>
      <c r="AR9" s="63">
        <v>78442</v>
      </c>
    </row>
    <row r="10" spans="2:44" ht="15" customHeight="1" x14ac:dyDescent="0.25">
      <c r="B10" s="62" t="s">
        <v>319</v>
      </c>
      <c r="C10" s="63">
        <v>0</v>
      </c>
      <c r="D10" s="63">
        <v>0</v>
      </c>
      <c r="E10" s="63">
        <v>0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2481</v>
      </c>
      <c r="M10" s="63">
        <v>575</v>
      </c>
      <c r="N10" s="63">
        <v>1086</v>
      </c>
      <c r="O10" s="63">
        <v>1598</v>
      </c>
      <c r="P10" s="63">
        <v>2110</v>
      </c>
      <c r="Q10" s="63"/>
      <c r="R10" s="63">
        <v>583</v>
      </c>
      <c r="S10" s="63">
        <v>1843</v>
      </c>
      <c r="T10" s="63">
        <v>2989</v>
      </c>
      <c r="U10" s="63">
        <v>4119</v>
      </c>
      <c r="V10" s="63"/>
      <c r="W10" s="63">
        <v>1115</v>
      </c>
      <c r="X10" s="63">
        <v>2195</v>
      </c>
      <c r="Y10" s="63">
        <v>3397</v>
      </c>
      <c r="Z10" s="63">
        <v>4734</v>
      </c>
      <c r="AA10" s="63"/>
      <c r="AB10" s="63">
        <v>1301.5856999999996</v>
      </c>
      <c r="AC10" s="63">
        <v>2832</v>
      </c>
      <c r="AD10" s="63">
        <v>4656</v>
      </c>
      <c r="AE10" s="63">
        <v>6329</v>
      </c>
      <c r="AF10" s="63"/>
      <c r="AG10" s="63">
        <v>1750</v>
      </c>
      <c r="AH10" s="113">
        <v>2532</v>
      </c>
      <c r="AI10" s="63">
        <v>3326</v>
      </c>
      <c r="AJ10" s="63">
        <v>4575</v>
      </c>
      <c r="AK10" s="63"/>
      <c r="AL10" s="63">
        <v>1864</v>
      </c>
      <c r="AM10" s="113">
        <v>3836</v>
      </c>
      <c r="AN10" s="63">
        <v>5629</v>
      </c>
      <c r="AO10" s="63">
        <v>7300</v>
      </c>
      <c r="AP10" s="63"/>
      <c r="AQ10" s="63">
        <v>1942</v>
      </c>
      <c r="AR10" s="63">
        <v>3810</v>
      </c>
    </row>
    <row r="11" spans="2:44" ht="15" customHeight="1" x14ac:dyDescent="0.25">
      <c r="B11" s="62" t="s">
        <v>315</v>
      </c>
      <c r="C11" s="63">
        <v>0</v>
      </c>
      <c r="D11" s="63">
        <v>0</v>
      </c>
      <c r="E11" s="63">
        <v>0</v>
      </c>
      <c r="F11" s="63">
        <v>0</v>
      </c>
      <c r="G11" s="63">
        <v>0</v>
      </c>
      <c r="H11" s="63">
        <v>0</v>
      </c>
      <c r="I11" s="63">
        <v>0</v>
      </c>
      <c r="J11" s="63">
        <v>0</v>
      </c>
      <c r="K11" s="63">
        <v>0</v>
      </c>
      <c r="M11" s="63">
        <v>0</v>
      </c>
      <c r="N11" s="63">
        <v>0</v>
      </c>
      <c r="O11" s="63">
        <v>0</v>
      </c>
      <c r="P11" s="63">
        <v>40349</v>
      </c>
      <c r="Q11" s="63"/>
      <c r="R11" s="63">
        <v>0</v>
      </c>
      <c r="S11" s="63">
        <v>-22584</v>
      </c>
      <c r="T11" s="63">
        <f>20147</f>
        <v>20147</v>
      </c>
      <c r="U11" s="63">
        <v>113871</v>
      </c>
      <c r="V11" s="63"/>
      <c r="W11" s="63">
        <v>41559.176000000007</v>
      </c>
      <c r="X11" s="63">
        <v>-24030</v>
      </c>
      <c r="Y11" s="63">
        <v>2157</v>
      </c>
      <c r="Z11" s="63">
        <v>47700</v>
      </c>
      <c r="AA11" s="63"/>
      <c r="AB11" s="63">
        <v>-14754.601999999999</v>
      </c>
      <c r="AC11" s="63">
        <v>-24409</v>
      </c>
      <c r="AD11" s="63">
        <v>-85750</v>
      </c>
      <c r="AE11" s="63">
        <v>-15872</v>
      </c>
      <c r="AF11" s="63"/>
      <c r="AG11" s="63">
        <v>-70920</v>
      </c>
      <c r="AH11" s="113">
        <v>-388046</v>
      </c>
      <c r="AI11" s="63">
        <v>-411414</v>
      </c>
      <c r="AJ11" s="63">
        <v>-367063</v>
      </c>
      <c r="AK11" s="63"/>
      <c r="AL11" s="63">
        <v>124149</v>
      </c>
      <c r="AM11" s="113">
        <v>-23617</v>
      </c>
      <c r="AN11" s="63">
        <v>108670</v>
      </c>
      <c r="AO11" s="63">
        <v>60460</v>
      </c>
      <c r="AP11" s="63"/>
      <c r="AQ11" s="63">
        <v>157124</v>
      </c>
      <c r="AR11" s="63">
        <v>-108606</v>
      </c>
    </row>
    <row r="12" spans="2:44" ht="15" customHeight="1" x14ac:dyDescent="0.25">
      <c r="B12" s="62" t="s">
        <v>320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63">
        <v>0</v>
      </c>
      <c r="S12" s="63">
        <v>14610</v>
      </c>
      <c r="T12" s="63">
        <v>-2770</v>
      </c>
      <c r="U12" s="63">
        <v>0</v>
      </c>
      <c r="V12" s="63"/>
      <c r="W12" s="63">
        <v>0</v>
      </c>
      <c r="X12" s="63">
        <v>6652</v>
      </c>
      <c r="Y12" s="63">
        <v>14045</v>
      </c>
      <c r="Z12" s="63">
        <v>17809</v>
      </c>
      <c r="AA12" s="63"/>
      <c r="AB12" s="63">
        <v>-2599.2532999999999</v>
      </c>
      <c r="AC12" s="63">
        <v>-26204</v>
      </c>
      <c r="AD12" s="63">
        <v>-43102</v>
      </c>
      <c r="AE12" s="63">
        <v>-69364</v>
      </c>
      <c r="AF12" s="63"/>
      <c r="AG12" s="63">
        <v>30941</v>
      </c>
      <c r="AH12" s="113">
        <v>193144</v>
      </c>
      <c r="AI12" s="63">
        <v>31849</v>
      </c>
      <c r="AJ12" s="63">
        <v>209683</v>
      </c>
      <c r="AK12" s="63"/>
      <c r="AL12" s="63">
        <v>-249665</v>
      </c>
      <c r="AM12" s="113">
        <v>-444786</v>
      </c>
      <c r="AN12" s="63">
        <v>-465599</v>
      </c>
      <c r="AO12" s="63">
        <v>-266324</v>
      </c>
      <c r="AP12" s="63"/>
      <c r="AQ12" s="63">
        <v>63663</v>
      </c>
      <c r="AR12" s="63">
        <v>39216</v>
      </c>
    </row>
    <row r="13" spans="2:44" ht="15" customHeight="1" x14ac:dyDescent="0.25">
      <c r="B13" s="62" t="s">
        <v>230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M13" s="63">
        <v>0</v>
      </c>
      <c r="N13" s="63">
        <v>0</v>
      </c>
      <c r="O13" s="63">
        <v>0</v>
      </c>
      <c r="P13" s="63">
        <v>0</v>
      </c>
      <c r="Q13" s="63"/>
      <c r="R13" s="63">
        <v>0</v>
      </c>
      <c r="S13" s="63">
        <v>-1369</v>
      </c>
      <c r="T13" s="63">
        <v>-15907</v>
      </c>
      <c r="U13" s="63">
        <v>0</v>
      </c>
      <c r="V13" s="63"/>
      <c r="W13" s="63">
        <v>-26104</v>
      </c>
      <c r="X13" s="63">
        <v>-51072</v>
      </c>
      <c r="Y13" s="63">
        <v>-68524</v>
      </c>
      <c r="Z13" s="63">
        <v>-92031</v>
      </c>
      <c r="AA13" s="63"/>
      <c r="AB13" s="63">
        <v>-20392.467489999999</v>
      </c>
      <c r="AC13" s="63">
        <v>-37806</v>
      </c>
      <c r="AD13" s="63">
        <v>-54772</v>
      </c>
      <c r="AE13" s="63">
        <v>-72604</v>
      </c>
      <c r="AF13" s="63"/>
      <c r="AG13" s="63">
        <v>-19403</v>
      </c>
      <c r="AH13" s="113">
        <v>-39287</v>
      </c>
      <c r="AI13" s="63">
        <v>-65579</v>
      </c>
      <c r="AJ13" s="63">
        <v>-94511</v>
      </c>
      <c r="AK13" s="63"/>
      <c r="AL13" s="63">
        <v>-1981</v>
      </c>
      <c r="AM13" s="113">
        <v>-4241</v>
      </c>
      <c r="AN13" s="63">
        <v>-5374</v>
      </c>
      <c r="AO13" s="63">
        <v>-8967</v>
      </c>
      <c r="AP13" s="63"/>
      <c r="AQ13" s="63">
        <v>-5818</v>
      </c>
      <c r="AR13" s="63">
        <v>-9096</v>
      </c>
    </row>
    <row r="14" spans="2:44" ht="15" customHeight="1" x14ac:dyDescent="0.25">
      <c r="B14" s="62" t="s">
        <v>262</v>
      </c>
      <c r="C14" s="63">
        <v>19196</v>
      </c>
      <c r="D14" s="63">
        <v>16091</v>
      </c>
      <c r="E14" s="63">
        <v>1558</v>
      </c>
      <c r="F14" s="63">
        <v>30579</v>
      </c>
      <c r="G14" s="63">
        <v>48403</v>
      </c>
      <c r="H14" s="63">
        <v>-31015</v>
      </c>
      <c r="I14" s="63">
        <v>-13610</v>
      </c>
      <c r="J14" s="63">
        <v>24752</v>
      </c>
      <c r="K14" s="63">
        <v>17022</v>
      </c>
      <c r="M14" s="63">
        <v>3545</v>
      </c>
      <c r="N14" s="63">
        <v>24205</v>
      </c>
      <c r="O14" s="63">
        <v>22789</v>
      </c>
      <c r="P14" s="63">
        <v>48461</v>
      </c>
      <c r="Q14" s="63"/>
      <c r="R14" s="63">
        <v>10798</v>
      </c>
      <c r="S14" s="63">
        <v>18839</v>
      </c>
      <c r="T14" s="63">
        <v>33457</v>
      </c>
      <c r="U14" s="63">
        <v>80258</v>
      </c>
      <c r="V14" s="63"/>
      <c r="W14" s="63">
        <v>-28464</v>
      </c>
      <c r="X14" s="63">
        <v>28667</v>
      </c>
      <c r="Y14" s="63">
        <v>58630</v>
      </c>
      <c r="Z14" s="63">
        <v>83773</v>
      </c>
      <c r="AA14" s="63"/>
      <c r="AB14" s="113">
        <v>8830.4586099999979</v>
      </c>
      <c r="AC14" s="63">
        <v>30768</v>
      </c>
      <c r="AD14" s="63">
        <v>79389</v>
      </c>
      <c r="AE14" s="63">
        <v>130092</v>
      </c>
      <c r="AF14" s="63"/>
      <c r="AG14" s="113">
        <v>41378</v>
      </c>
      <c r="AH14" s="113">
        <v>113468</v>
      </c>
      <c r="AI14" s="63">
        <v>157984</v>
      </c>
      <c r="AJ14" s="63">
        <v>262289</v>
      </c>
      <c r="AK14" s="63"/>
      <c r="AL14" s="113">
        <v>36532</v>
      </c>
      <c r="AM14" s="113">
        <v>112656</v>
      </c>
      <c r="AN14" s="63">
        <v>148496</v>
      </c>
      <c r="AO14" s="63">
        <v>178584</v>
      </c>
      <c r="AP14" s="63"/>
      <c r="AQ14" s="113">
        <v>40713</v>
      </c>
      <c r="AR14" s="113">
        <v>150015</v>
      </c>
    </row>
    <row r="15" spans="2:44" ht="15" customHeight="1" x14ac:dyDescent="0.25">
      <c r="B15" s="62" t="s">
        <v>115</v>
      </c>
      <c r="C15" s="63">
        <v>0</v>
      </c>
      <c r="D15" s="63">
        <v>0</v>
      </c>
      <c r="E15" s="63">
        <v>0</v>
      </c>
      <c r="F15" s="63">
        <v>0</v>
      </c>
      <c r="G15" s="63">
        <v>0</v>
      </c>
      <c r="H15" s="63">
        <v>0</v>
      </c>
      <c r="I15" s="63">
        <v>0</v>
      </c>
      <c r="J15" s="63">
        <v>0</v>
      </c>
      <c r="K15" s="63">
        <v>0</v>
      </c>
      <c r="M15" s="63">
        <v>29216</v>
      </c>
      <c r="N15" s="63">
        <v>28941</v>
      </c>
      <c r="O15" s="63">
        <v>32727</v>
      </c>
      <c r="P15" s="63" t="s">
        <v>225</v>
      </c>
      <c r="Q15" s="63"/>
      <c r="R15" s="63">
        <v>14575</v>
      </c>
      <c r="S15" s="63">
        <v>14689</v>
      </c>
      <c r="T15" s="63">
        <v>42697</v>
      </c>
      <c r="U15" s="63" t="s">
        <v>226</v>
      </c>
      <c r="V15" s="63"/>
      <c r="W15" s="63">
        <v>0</v>
      </c>
      <c r="X15" s="63">
        <v>0</v>
      </c>
      <c r="Y15" s="63">
        <v>0</v>
      </c>
      <c r="Z15" s="63">
        <v>0</v>
      </c>
      <c r="AA15" s="63"/>
      <c r="AB15" s="113">
        <v>0</v>
      </c>
      <c r="AC15" s="63">
        <v>0</v>
      </c>
      <c r="AD15" s="63">
        <v>0</v>
      </c>
      <c r="AE15" s="63">
        <v>0</v>
      </c>
      <c r="AF15" s="63"/>
      <c r="AG15" s="113">
        <v>0</v>
      </c>
      <c r="AH15" s="113">
        <v>0</v>
      </c>
      <c r="AI15" s="63">
        <v>0</v>
      </c>
      <c r="AJ15" s="63">
        <v>0</v>
      </c>
      <c r="AK15" s="63"/>
      <c r="AL15" s="113">
        <v>0</v>
      </c>
      <c r="AM15" s="113">
        <v>0</v>
      </c>
      <c r="AN15" s="63">
        <v>0</v>
      </c>
      <c r="AO15" s="63">
        <v>0</v>
      </c>
      <c r="AP15" s="63"/>
      <c r="AQ15" s="113">
        <v>0</v>
      </c>
      <c r="AR15" s="113">
        <v>0</v>
      </c>
    </row>
    <row r="16" spans="2:44" ht="15" customHeight="1" x14ac:dyDescent="0.25">
      <c r="B16" s="62" t="s">
        <v>263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3852</v>
      </c>
      <c r="K16" s="63">
        <v>543</v>
      </c>
      <c r="M16" s="63">
        <v>0</v>
      </c>
      <c r="N16" s="63">
        <v>0</v>
      </c>
      <c r="O16" s="63">
        <v>3569</v>
      </c>
      <c r="P16" s="63">
        <v>-1638</v>
      </c>
      <c r="Q16" s="63"/>
      <c r="R16" s="63">
        <v>845</v>
      </c>
      <c r="S16" s="63">
        <v>3519</v>
      </c>
      <c r="T16" s="63">
        <v>680</v>
      </c>
      <c r="U16" s="63">
        <v>898</v>
      </c>
      <c r="V16" s="63"/>
      <c r="W16" s="63">
        <v>-319</v>
      </c>
      <c r="X16" s="63">
        <v>118</v>
      </c>
      <c r="Y16" s="63">
        <v>449</v>
      </c>
      <c r="Z16" s="63">
        <v>620</v>
      </c>
      <c r="AA16" s="63"/>
      <c r="AB16" s="63">
        <v>202.06431000000001</v>
      </c>
      <c r="AC16" s="63">
        <v>5368</v>
      </c>
      <c r="AD16" s="63">
        <v>6650</v>
      </c>
      <c r="AE16" s="63">
        <v>8631</v>
      </c>
      <c r="AF16" s="63"/>
      <c r="AG16" s="63">
        <v>1172</v>
      </c>
      <c r="AH16" s="113">
        <v>12812</v>
      </c>
      <c r="AI16" s="63">
        <v>19752</v>
      </c>
      <c r="AJ16" s="63">
        <v>21346</v>
      </c>
      <c r="AK16" s="63"/>
      <c r="AL16" s="63">
        <v>4339</v>
      </c>
      <c r="AM16" s="113">
        <v>12401</v>
      </c>
      <c r="AN16" s="63">
        <v>35044</v>
      </c>
      <c r="AO16" s="63">
        <v>30835</v>
      </c>
      <c r="AP16" s="63"/>
      <c r="AQ16" s="63">
        <v>10039</v>
      </c>
      <c r="AR16" s="63">
        <v>8256</v>
      </c>
    </row>
    <row r="17" spans="2:44" ht="15" customHeight="1" x14ac:dyDescent="0.25">
      <c r="B17" s="62" t="s">
        <v>352</v>
      </c>
      <c r="C17" s="63"/>
      <c r="D17" s="63"/>
      <c r="E17" s="63"/>
      <c r="F17" s="63"/>
      <c r="G17" s="63"/>
      <c r="H17" s="63"/>
      <c r="I17" s="63"/>
      <c r="J17" s="63"/>
      <c r="K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113"/>
      <c r="AI17" s="63"/>
      <c r="AJ17" s="63"/>
      <c r="AK17" s="63"/>
      <c r="AL17" s="63">
        <v>0</v>
      </c>
      <c r="AM17" s="113">
        <v>0</v>
      </c>
      <c r="AN17" s="63">
        <v>0</v>
      </c>
      <c r="AO17" s="63">
        <v>0</v>
      </c>
      <c r="AP17" s="63"/>
      <c r="AQ17" s="63">
        <v>0</v>
      </c>
      <c r="AR17" s="63">
        <v>7223</v>
      </c>
    </row>
    <row r="18" spans="2:44" ht="15" customHeight="1" x14ac:dyDescent="0.25">
      <c r="B18" s="62" t="s">
        <v>116</v>
      </c>
      <c r="C18" s="63">
        <v>601</v>
      </c>
      <c r="D18" s="63">
        <v>290</v>
      </c>
      <c r="E18" s="63">
        <v>0</v>
      </c>
      <c r="F18" s="63">
        <v>0</v>
      </c>
      <c r="G18" s="63">
        <v>-114</v>
      </c>
      <c r="H18" s="63">
        <v>0</v>
      </c>
      <c r="I18" s="63">
        <v>0</v>
      </c>
      <c r="J18" s="63">
        <v>0</v>
      </c>
      <c r="K18" s="63">
        <v>0</v>
      </c>
      <c r="M18" s="63">
        <v>0</v>
      </c>
      <c r="N18" s="63">
        <v>0</v>
      </c>
      <c r="O18" s="63">
        <v>0</v>
      </c>
      <c r="P18" s="63">
        <v>12</v>
      </c>
      <c r="Q18" s="63"/>
      <c r="R18" s="63">
        <v>2470</v>
      </c>
      <c r="S18" s="63">
        <v>1101</v>
      </c>
      <c r="T18" s="63">
        <v>928</v>
      </c>
      <c r="U18" s="63">
        <v>739</v>
      </c>
      <c r="V18" s="63"/>
      <c r="W18" s="63">
        <v>-23</v>
      </c>
      <c r="X18" s="63">
        <v>2221</v>
      </c>
      <c r="Y18" s="63">
        <v>2329</v>
      </c>
      <c r="Z18" s="63">
        <v>4029</v>
      </c>
      <c r="AA18" s="63"/>
      <c r="AB18" s="63">
        <v>68.274909999999849</v>
      </c>
      <c r="AC18" s="63">
        <v>3893</v>
      </c>
      <c r="AD18" s="63">
        <v>5536</v>
      </c>
      <c r="AE18" s="63">
        <v>5214</v>
      </c>
      <c r="AF18" s="63"/>
      <c r="AG18" s="63">
        <v>2173</v>
      </c>
      <c r="AH18" s="113">
        <v>2871</v>
      </c>
      <c r="AI18" s="63">
        <v>3443</v>
      </c>
      <c r="AJ18" s="63">
        <v>-4886</v>
      </c>
      <c r="AK18" s="63"/>
      <c r="AL18" s="63">
        <v>-1382</v>
      </c>
      <c r="AM18" s="113">
        <v>-2183</v>
      </c>
      <c r="AN18" s="63">
        <v>-2636</v>
      </c>
      <c r="AO18" s="63">
        <v>-1427</v>
      </c>
      <c r="AP18" s="63"/>
      <c r="AQ18" s="63">
        <v>-1062</v>
      </c>
      <c r="AR18" s="63">
        <v>-1409</v>
      </c>
    </row>
    <row r="19" spans="2:44" ht="15" customHeight="1" x14ac:dyDescent="0.25">
      <c r="B19" s="62" t="s">
        <v>256</v>
      </c>
      <c r="C19" s="63">
        <v>0</v>
      </c>
      <c r="D19" s="63">
        <v>0</v>
      </c>
      <c r="E19" s="63">
        <v>0</v>
      </c>
      <c r="F19" s="63">
        <v>0</v>
      </c>
      <c r="G19" s="63">
        <v>0</v>
      </c>
      <c r="H19" s="63">
        <v>0</v>
      </c>
      <c r="I19" s="63">
        <v>0</v>
      </c>
      <c r="J19" s="63">
        <v>0</v>
      </c>
      <c r="K19" s="63">
        <v>0</v>
      </c>
      <c r="M19" s="63">
        <v>0</v>
      </c>
      <c r="N19" s="63">
        <v>0</v>
      </c>
      <c r="O19" s="63">
        <v>0</v>
      </c>
      <c r="P19" s="63">
        <v>0</v>
      </c>
      <c r="Q19" s="63"/>
      <c r="R19" s="63">
        <v>1331</v>
      </c>
      <c r="S19" s="63">
        <v>5324</v>
      </c>
      <c r="T19" s="63">
        <v>9318</v>
      </c>
      <c r="U19" s="63">
        <v>13311</v>
      </c>
      <c r="V19" s="63"/>
      <c r="W19" s="63">
        <v>2741</v>
      </c>
      <c r="X19" s="63">
        <v>5779</v>
      </c>
      <c r="Y19" s="63">
        <v>8843</v>
      </c>
      <c r="Z19" s="63">
        <v>11775</v>
      </c>
      <c r="AA19" s="63"/>
      <c r="AB19" s="63">
        <v>1984.8506100000013</v>
      </c>
      <c r="AC19" s="63">
        <v>4230</v>
      </c>
      <c r="AD19" s="63">
        <v>6788</v>
      </c>
      <c r="AE19" s="63">
        <v>9180</v>
      </c>
      <c r="AF19" s="63"/>
      <c r="AG19" s="63">
        <v>1622</v>
      </c>
      <c r="AH19" s="113">
        <v>3027</v>
      </c>
      <c r="AI19" s="63">
        <v>4377</v>
      </c>
      <c r="AJ19" s="63">
        <v>6328</v>
      </c>
      <c r="AK19" s="63"/>
      <c r="AL19" s="63">
        <v>970</v>
      </c>
      <c r="AM19" s="113">
        <v>1998</v>
      </c>
      <c r="AN19" s="63">
        <v>2953</v>
      </c>
      <c r="AO19" s="63">
        <v>4377</v>
      </c>
      <c r="AP19" s="63"/>
      <c r="AQ19" s="63">
        <v>513</v>
      </c>
      <c r="AR19" s="63">
        <v>12779</v>
      </c>
    </row>
    <row r="20" spans="2:44" ht="15" customHeight="1" x14ac:dyDescent="0.25">
      <c r="B20" s="62" t="s">
        <v>117</v>
      </c>
      <c r="C20" s="63">
        <v>0</v>
      </c>
      <c r="D20" s="63">
        <v>0</v>
      </c>
      <c r="E20" s="63">
        <v>0</v>
      </c>
      <c r="F20" s="63">
        <v>0</v>
      </c>
      <c r="G20" s="63">
        <v>0</v>
      </c>
      <c r="H20" s="63">
        <v>0</v>
      </c>
      <c r="I20" s="63">
        <v>0</v>
      </c>
      <c r="J20" s="63">
        <v>0</v>
      </c>
      <c r="K20" s="63">
        <v>397</v>
      </c>
      <c r="M20" s="63">
        <v>0</v>
      </c>
      <c r="N20" s="63">
        <v>0</v>
      </c>
      <c r="O20" s="63">
        <v>107</v>
      </c>
      <c r="P20" s="63">
        <v>230</v>
      </c>
      <c r="Q20" s="63"/>
      <c r="R20" s="63">
        <v>0</v>
      </c>
      <c r="S20" s="63">
        <v>0</v>
      </c>
      <c r="T20" s="63">
        <v>781</v>
      </c>
      <c r="U20" s="63">
        <v>891</v>
      </c>
      <c r="V20" s="63"/>
      <c r="W20" s="63">
        <v>251</v>
      </c>
      <c r="X20" s="45">
        <v>557</v>
      </c>
      <c r="Y20" s="45">
        <v>1025</v>
      </c>
      <c r="Z20" s="45">
        <v>1496</v>
      </c>
      <c r="AA20" s="45"/>
      <c r="AB20" s="63">
        <v>487.68484000000001</v>
      </c>
      <c r="AC20" s="63">
        <v>943</v>
      </c>
      <c r="AD20" s="63">
        <v>1271</v>
      </c>
      <c r="AE20" s="63">
        <v>1675</v>
      </c>
      <c r="AF20" s="45"/>
      <c r="AG20" s="63">
        <v>474</v>
      </c>
      <c r="AH20" s="113">
        <v>533</v>
      </c>
      <c r="AI20" s="63">
        <v>888</v>
      </c>
      <c r="AJ20" s="63">
        <v>1264</v>
      </c>
      <c r="AK20" s="45"/>
      <c r="AL20" s="63">
        <v>568</v>
      </c>
      <c r="AM20" s="113">
        <v>789</v>
      </c>
      <c r="AN20" s="63">
        <v>1512</v>
      </c>
      <c r="AO20" s="63">
        <v>1748</v>
      </c>
      <c r="AP20" s="45"/>
      <c r="AQ20" s="63">
        <v>496</v>
      </c>
      <c r="AR20" s="63">
        <v>1204</v>
      </c>
    </row>
    <row r="21" spans="2:44" ht="15" customHeight="1" x14ac:dyDescent="0.25">
      <c r="B21" s="62" t="s">
        <v>118</v>
      </c>
      <c r="C21" s="63">
        <v>0</v>
      </c>
      <c r="D21" s="63">
        <v>0</v>
      </c>
      <c r="E21" s="63">
        <v>490</v>
      </c>
      <c r="F21" s="63">
        <v>18919</v>
      </c>
      <c r="G21" s="63">
        <v>5438</v>
      </c>
      <c r="H21" s="63">
        <v>453</v>
      </c>
      <c r="I21" s="63">
        <v>603</v>
      </c>
      <c r="J21" s="63">
        <v>682</v>
      </c>
      <c r="K21" s="63">
        <v>1000</v>
      </c>
      <c r="M21" s="63">
        <v>451</v>
      </c>
      <c r="N21" s="63">
        <v>540</v>
      </c>
      <c r="O21" s="63">
        <v>2299</v>
      </c>
      <c r="P21" s="63">
        <v>4739</v>
      </c>
      <c r="Q21" s="63"/>
      <c r="R21" s="63">
        <v>370</v>
      </c>
      <c r="S21" s="63">
        <v>285</v>
      </c>
      <c r="T21" s="63">
        <v>942</v>
      </c>
      <c r="U21" s="63">
        <v>686</v>
      </c>
      <c r="V21" s="63"/>
      <c r="W21" s="63">
        <v>11</v>
      </c>
      <c r="X21" s="63">
        <v>127</v>
      </c>
      <c r="Y21" s="63">
        <v>596</v>
      </c>
      <c r="Z21" s="63">
        <v>746</v>
      </c>
      <c r="AA21" s="63"/>
      <c r="AB21" s="63">
        <v>78.637399999999957</v>
      </c>
      <c r="AC21" s="63">
        <v>418</v>
      </c>
      <c r="AD21" s="63">
        <v>556</v>
      </c>
      <c r="AE21" s="63">
        <v>565</v>
      </c>
      <c r="AF21" s="63"/>
      <c r="AG21" s="63">
        <v>181</v>
      </c>
      <c r="AH21" s="113">
        <v>287</v>
      </c>
      <c r="AI21" s="63">
        <v>1050</v>
      </c>
      <c r="AJ21" s="63">
        <v>1228</v>
      </c>
      <c r="AK21" s="63"/>
      <c r="AL21" s="63">
        <v>2538</v>
      </c>
      <c r="AM21" s="113">
        <v>2710</v>
      </c>
      <c r="AN21" s="63">
        <v>3012</v>
      </c>
      <c r="AO21" s="63">
        <v>3602</v>
      </c>
      <c r="AP21" s="63"/>
      <c r="AQ21" s="63">
        <v>1092</v>
      </c>
      <c r="AR21" s="63">
        <v>1495</v>
      </c>
    </row>
    <row r="22" spans="2:44" ht="15" customHeight="1" x14ac:dyDescent="0.25">
      <c r="B22" s="62" t="s">
        <v>321</v>
      </c>
      <c r="C22" s="63"/>
      <c r="D22" s="63"/>
      <c r="E22" s="63"/>
      <c r="F22" s="63"/>
      <c r="G22" s="63"/>
      <c r="H22" s="63"/>
      <c r="I22" s="63"/>
      <c r="J22" s="63"/>
      <c r="K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113"/>
      <c r="AI22" s="63"/>
      <c r="AJ22" s="63"/>
      <c r="AK22" s="63"/>
      <c r="AL22" s="63"/>
      <c r="AM22" s="113"/>
      <c r="AN22" s="63"/>
      <c r="AO22" s="63">
        <v>10188</v>
      </c>
      <c r="AP22" s="63"/>
      <c r="AQ22" s="63">
        <v>0</v>
      </c>
      <c r="AR22" s="63">
        <v>0</v>
      </c>
    </row>
    <row r="23" spans="2:44" ht="15" customHeight="1" x14ac:dyDescent="0.25">
      <c r="B23" s="62" t="s">
        <v>119</v>
      </c>
      <c r="C23" s="63">
        <v>0</v>
      </c>
      <c r="D23" s="63">
        <v>0</v>
      </c>
      <c r="E23" s="63">
        <v>0</v>
      </c>
      <c r="F23" s="63">
        <v>-27984</v>
      </c>
      <c r="G23" s="63">
        <v>0</v>
      </c>
      <c r="H23" s="63">
        <v>26908</v>
      </c>
      <c r="I23" s="63">
        <v>15796</v>
      </c>
      <c r="J23" s="63">
        <v>0</v>
      </c>
      <c r="K23" s="63">
        <v>0</v>
      </c>
      <c r="M23" s="63">
        <v>0</v>
      </c>
      <c r="N23" s="63">
        <v>0</v>
      </c>
      <c r="O23" s="63">
        <v>0</v>
      </c>
      <c r="P23" s="63">
        <v>0</v>
      </c>
      <c r="Q23" s="63"/>
      <c r="R23" s="63">
        <v>0</v>
      </c>
      <c r="S23" s="63">
        <v>0</v>
      </c>
      <c r="T23" s="63">
        <v>0</v>
      </c>
      <c r="U23" s="63">
        <v>0</v>
      </c>
      <c r="V23" s="63"/>
      <c r="W23" s="63">
        <v>0</v>
      </c>
      <c r="X23" s="63">
        <v>0</v>
      </c>
      <c r="Y23" s="63">
        <v>0</v>
      </c>
      <c r="Z23" s="63">
        <v>0</v>
      </c>
      <c r="AA23" s="63"/>
      <c r="AB23" s="63">
        <v>0</v>
      </c>
      <c r="AC23" s="63">
        <v>0</v>
      </c>
      <c r="AD23" s="63">
        <v>0</v>
      </c>
      <c r="AE23" s="63">
        <v>0</v>
      </c>
      <c r="AF23" s="63">
        <v>0</v>
      </c>
      <c r="AG23" s="63">
        <v>0</v>
      </c>
      <c r="AH23" s="63">
        <v>0</v>
      </c>
      <c r="AI23" s="63">
        <v>0</v>
      </c>
      <c r="AJ23" s="63">
        <v>0</v>
      </c>
      <c r="AK23" s="63">
        <v>0</v>
      </c>
      <c r="AL23" s="63">
        <v>0</v>
      </c>
      <c r="AM23" s="63">
        <v>0</v>
      </c>
      <c r="AN23" s="63">
        <v>0</v>
      </c>
      <c r="AO23" s="63">
        <v>0</v>
      </c>
      <c r="AP23" s="63">
        <v>0</v>
      </c>
      <c r="AQ23" s="63">
        <v>0</v>
      </c>
      <c r="AR23" s="63">
        <v>0</v>
      </c>
    </row>
    <row r="24" spans="2:44" ht="15" customHeight="1" x14ac:dyDescent="0.25">
      <c r="B24" s="62" t="s">
        <v>120</v>
      </c>
      <c r="C24" s="63">
        <v>0</v>
      </c>
      <c r="D24" s="63">
        <v>0</v>
      </c>
      <c r="E24" s="63">
        <v>0</v>
      </c>
      <c r="F24" s="63">
        <v>0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M24" s="63">
        <v>0</v>
      </c>
      <c r="N24" s="63">
        <v>0</v>
      </c>
      <c r="O24" s="63">
        <v>0</v>
      </c>
      <c r="P24" s="63">
        <v>0</v>
      </c>
      <c r="Q24" s="63"/>
      <c r="R24" s="63">
        <v>0</v>
      </c>
      <c r="S24" s="63">
        <v>0</v>
      </c>
      <c r="T24" s="63">
        <v>0</v>
      </c>
      <c r="U24" s="63">
        <v>0</v>
      </c>
      <c r="V24" s="63"/>
      <c r="W24" s="63">
        <v>0</v>
      </c>
      <c r="X24" s="63">
        <v>0</v>
      </c>
      <c r="Y24" s="63">
        <v>0</v>
      </c>
      <c r="Z24" s="63">
        <v>0</v>
      </c>
      <c r="AA24" s="63"/>
      <c r="AB24" s="63">
        <v>0</v>
      </c>
      <c r="AC24" s="63">
        <v>0</v>
      </c>
      <c r="AD24" s="63">
        <v>0</v>
      </c>
      <c r="AE24" s="63">
        <v>0</v>
      </c>
      <c r="AF24" s="63">
        <v>0</v>
      </c>
      <c r="AG24" s="63">
        <v>0</v>
      </c>
      <c r="AH24" s="63">
        <v>0</v>
      </c>
      <c r="AI24" s="63">
        <v>0</v>
      </c>
      <c r="AJ24" s="63">
        <v>0</v>
      </c>
      <c r="AK24" s="63">
        <v>0</v>
      </c>
      <c r="AL24" s="63">
        <v>0</v>
      </c>
      <c r="AM24" s="63">
        <v>0</v>
      </c>
      <c r="AN24" s="63">
        <v>0</v>
      </c>
      <c r="AO24" s="63">
        <v>0</v>
      </c>
      <c r="AP24" s="63">
        <v>0</v>
      </c>
      <c r="AQ24" s="63">
        <v>0</v>
      </c>
      <c r="AR24" s="63">
        <v>0</v>
      </c>
    </row>
    <row r="25" spans="2:44" ht="15" customHeight="1" x14ac:dyDescent="0.25">
      <c r="B25" s="62" t="s">
        <v>322</v>
      </c>
      <c r="C25" s="63">
        <v>30</v>
      </c>
      <c r="D25" s="63">
        <v>-440</v>
      </c>
      <c r="E25" s="63">
        <v>-662</v>
      </c>
      <c r="F25" s="63">
        <v>60</v>
      </c>
      <c r="G25" s="63">
        <v>0</v>
      </c>
      <c r="H25" s="63">
        <v>0</v>
      </c>
      <c r="I25" s="63">
        <v>0</v>
      </c>
      <c r="J25" s="63">
        <v>0</v>
      </c>
      <c r="K25" s="63">
        <v>0</v>
      </c>
      <c r="M25" s="63">
        <v>0</v>
      </c>
      <c r="N25" s="63">
        <v>0</v>
      </c>
      <c r="O25" s="63">
        <v>0</v>
      </c>
      <c r="P25" s="63">
        <v>0</v>
      </c>
      <c r="Q25" s="63"/>
      <c r="R25" s="63">
        <v>0</v>
      </c>
      <c r="S25" s="63">
        <v>0</v>
      </c>
      <c r="T25" s="63">
        <v>0</v>
      </c>
      <c r="U25" s="63">
        <v>0</v>
      </c>
      <c r="V25" s="63"/>
      <c r="W25" s="63">
        <v>0</v>
      </c>
      <c r="X25" s="63">
        <v>0</v>
      </c>
      <c r="Y25" s="63">
        <v>0</v>
      </c>
      <c r="Z25" s="63">
        <v>0</v>
      </c>
      <c r="AA25" s="63"/>
      <c r="AB25" s="63">
        <v>0</v>
      </c>
      <c r="AC25" s="63">
        <v>0</v>
      </c>
      <c r="AD25" s="63">
        <v>0</v>
      </c>
      <c r="AE25" s="63">
        <v>0</v>
      </c>
      <c r="AF25" s="63"/>
      <c r="AG25" s="63">
        <v>0</v>
      </c>
      <c r="AH25" s="124">
        <v>68</v>
      </c>
      <c r="AI25" s="63">
        <v>145</v>
      </c>
      <c r="AJ25" s="63">
        <v>71</v>
      </c>
      <c r="AK25" s="63"/>
      <c r="AL25" s="63">
        <v>230</v>
      </c>
      <c r="AM25" s="124">
        <v>187</v>
      </c>
      <c r="AN25" s="129">
        <v>481</v>
      </c>
      <c r="AO25" s="63">
        <v>264</v>
      </c>
      <c r="AP25" s="63"/>
      <c r="AQ25" s="63">
        <v>2029</v>
      </c>
      <c r="AR25" s="63">
        <v>1568</v>
      </c>
    </row>
    <row r="26" spans="2:44" ht="15" customHeight="1" x14ac:dyDescent="0.25">
      <c r="B26" s="62" t="s">
        <v>316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3">
        <v>0</v>
      </c>
      <c r="K26" s="63">
        <v>0</v>
      </c>
      <c r="M26" s="63">
        <v>0</v>
      </c>
      <c r="N26" s="63">
        <v>0</v>
      </c>
      <c r="O26" s="63">
        <v>0</v>
      </c>
      <c r="P26" s="63">
        <v>0</v>
      </c>
      <c r="Q26" s="63"/>
      <c r="R26" s="63">
        <v>0</v>
      </c>
      <c r="S26" s="63">
        <v>0</v>
      </c>
      <c r="T26" s="63">
        <v>0</v>
      </c>
      <c r="U26" s="63">
        <v>0</v>
      </c>
      <c r="V26" s="63"/>
      <c r="W26" s="63">
        <v>0</v>
      </c>
      <c r="X26" s="63">
        <v>0</v>
      </c>
      <c r="Y26" s="63">
        <v>-36819</v>
      </c>
      <c r="Z26" s="63">
        <v>-36819</v>
      </c>
      <c r="AA26" s="63"/>
      <c r="AB26" s="63">
        <v>0</v>
      </c>
      <c r="AC26" s="63">
        <v>0</v>
      </c>
      <c r="AD26" s="63">
        <v>0</v>
      </c>
      <c r="AE26" s="63">
        <v>-4076</v>
      </c>
      <c r="AF26" s="63"/>
      <c r="AG26" s="63">
        <v>0</v>
      </c>
      <c r="AH26" s="63">
        <v>0</v>
      </c>
      <c r="AI26" s="63">
        <v>0</v>
      </c>
      <c r="AJ26" s="18">
        <v>0</v>
      </c>
      <c r="AK26" s="63"/>
      <c r="AL26" s="63">
        <v>0</v>
      </c>
      <c r="AM26" s="63">
        <v>-65637</v>
      </c>
      <c r="AN26" s="63">
        <v>-65637</v>
      </c>
      <c r="AO26" s="63">
        <v>-65637</v>
      </c>
      <c r="AP26" s="63"/>
      <c r="AQ26" s="63">
        <v>0</v>
      </c>
      <c r="AR26" s="63">
        <v>9902</v>
      </c>
    </row>
    <row r="27" spans="2:44" ht="13.95" customHeight="1" x14ac:dyDescent="0.25">
      <c r="C27" s="18"/>
      <c r="D27" s="18"/>
      <c r="E27" s="18"/>
      <c r="F27" s="18"/>
      <c r="G27" s="18"/>
      <c r="H27" s="18"/>
      <c r="I27" s="18"/>
      <c r="J27" s="18"/>
      <c r="K27" s="18"/>
      <c r="M27" s="18"/>
      <c r="N27" s="18"/>
      <c r="O27" s="18"/>
      <c r="P27" s="18"/>
      <c r="W27" s="18"/>
      <c r="X27" s="18"/>
      <c r="Y27" s="18"/>
      <c r="Z27" s="18"/>
      <c r="AB27" s="63"/>
      <c r="AC27" s="18"/>
      <c r="AD27" s="18"/>
      <c r="AE27" s="18"/>
      <c r="AG27" s="63"/>
      <c r="AH27" s="18"/>
      <c r="AI27" s="18"/>
      <c r="AJ27" s="61"/>
      <c r="AL27" s="63"/>
      <c r="AM27" s="18"/>
      <c r="AN27" s="18"/>
      <c r="AO27" s="61"/>
      <c r="AQ27" s="63"/>
    </row>
    <row r="28" spans="2:44" s="23" customFormat="1" ht="15" customHeight="1" x14ac:dyDescent="0.25">
      <c r="B28" s="23" t="s">
        <v>121</v>
      </c>
      <c r="C28" s="61"/>
      <c r="D28" s="61"/>
      <c r="E28" s="61"/>
      <c r="F28" s="61"/>
      <c r="G28" s="61"/>
      <c r="H28" s="61"/>
      <c r="I28" s="61"/>
      <c r="J28" s="61"/>
      <c r="K28" s="61"/>
      <c r="M28" s="61"/>
      <c r="N28" s="61"/>
      <c r="O28" s="61"/>
      <c r="P28" s="61"/>
      <c r="W28" s="61"/>
      <c r="X28" s="61"/>
      <c r="Y28" s="61"/>
      <c r="Z28" s="61"/>
      <c r="AB28" s="18"/>
      <c r="AC28" s="61"/>
      <c r="AD28" s="61"/>
      <c r="AE28" s="61"/>
      <c r="AG28" s="18"/>
      <c r="AH28" s="61"/>
      <c r="AI28" s="61"/>
      <c r="AJ28" s="63"/>
      <c r="AL28" s="18"/>
      <c r="AM28" s="61"/>
      <c r="AN28" s="61"/>
      <c r="AO28" s="63"/>
      <c r="AQ28" s="18"/>
    </row>
    <row r="29" spans="2:44" ht="15" customHeight="1" x14ac:dyDescent="0.25">
      <c r="B29" s="62" t="s">
        <v>122</v>
      </c>
      <c r="C29" s="63">
        <v>-47743</v>
      </c>
      <c r="D29" s="63">
        <v>-36220</v>
      </c>
      <c r="E29" s="63">
        <v>-13133</v>
      </c>
      <c r="F29" s="63">
        <v>-32822</v>
      </c>
      <c r="G29" s="63">
        <v>-16574</v>
      </c>
      <c r="H29" s="63">
        <v>-12454</v>
      </c>
      <c r="I29" s="63">
        <v>-37739</v>
      </c>
      <c r="J29" s="63">
        <v>-60705</v>
      </c>
      <c r="K29" s="63">
        <v>-136334</v>
      </c>
      <c r="M29" s="63">
        <v>-66548</v>
      </c>
      <c r="N29" s="63">
        <v>90433</v>
      </c>
      <c r="O29" s="63">
        <v>-32457</v>
      </c>
      <c r="P29" s="63">
        <v>-212335</v>
      </c>
      <c r="Q29" s="63"/>
      <c r="R29" s="63">
        <v>-214381</v>
      </c>
      <c r="S29" s="63">
        <v>562596</v>
      </c>
      <c r="T29" s="63">
        <v>384285</v>
      </c>
      <c r="U29" s="63">
        <v>-197417</v>
      </c>
      <c r="V29" s="63"/>
      <c r="W29" s="63">
        <v>-143218</v>
      </c>
      <c r="X29" s="63">
        <v>498998</v>
      </c>
      <c r="Y29" s="63">
        <v>394594</v>
      </c>
      <c r="Z29" s="63">
        <v>-337646</v>
      </c>
      <c r="AA29" s="63"/>
      <c r="AB29" s="18">
        <v>12044.643649999867</v>
      </c>
      <c r="AC29" s="63">
        <v>493464</v>
      </c>
      <c r="AD29" s="63">
        <v>498694</v>
      </c>
      <c r="AE29" s="63">
        <v>-189966</v>
      </c>
      <c r="AF29" s="63"/>
      <c r="AG29" s="63">
        <v>-327182</v>
      </c>
      <c r="AH29" s="63">
        <v>514768</v>
      </c>
      <c r="AI29" s="63">
        <v>448209</v>
      </c>
      <c r="AJ29" s="63">
        <v>-79288</v>
      </c>
      <c r="AK29" s="63"/>
      <c r="AL29" s="63">
        <v>-148039</v>
      </c>
      <c r="AM29" s="63">
        <v>126981</v>
      </c>
      <c r="AN29" s="63">
        <v>-532740</v>
      </c>
      <c r="AO29" s="113">
        <v>-813024</v>
      </c>
      <c r="AP29" s="63"/>
      <c r="AQ29" s="63">
        <v>-585342</v>
      </c>
      <c r="AR29" s="63">
        <v>409604</v>
      </c>
    </row>
    <row r="30" spans="2:44" ht="15" customHeight="1" x14ac:dyDescent="0.25">
      <c r="B30" s="62" t="s">
        <v>123</v>
      </c>
      <c r="C30" s="63">
        <v>0</v>
      </c>
      <c r="D30" s="63">
        <v>0</v>
      </c>
      <c r="E30" s="63">
        <v>0</v>
      </c>
      <c r="F30" s="63">
        <v>0</v>
      </c>
      <c r="G30" s="63">
        <v>-19920</v>
      </c>
      <c r="H30" s="63">
        <v>931</v>
      </c>
      <c r="I30" s="63">
        <v>6106</v>
      </c>
      <c r="J30" s="63">
        <v>-17234</v>
      </c>
      <c r="K30" s="63">
        <v>12718</v>
      </c>
      <c r="M30" s="63">
        <v>23491</v>
      </c>
      <c r="N30" s="63">
        <v>194426</v>
      </c>
      <c r="O30" s="63">
        <v>7130</v>
      </c>
      <c r="P30" s="63">
        <v>251352</v>
      </c>
      <c r="Q30" s="63"/>
      <c r="R30" s="63">
        <v>-79325</v>
      </c>
      <c r="S30" s="63">
        <v>-224196</v>
      </c>
      <c r="T30" s="63">
        <v>-22932</v>
      </c>
      <c r="U30" s="63">
        <v>-2529</v>
      </c>
      <c r="V30" s="63"/>
      <c r="W30" s="63">
        <v>2766</v>
      </c>
      <c r="X30" s="63">
        <v>11868</v>
      </c>
      <c r="Y30" s="63">
        <v>-12804</v>
      </c>
      <c r="Z30" s="63">
        <v>-15289</v>
      </c>
      <c r="AA30" s="63"/>
      <c r="AB30" s="63">
        <v>2889.1064800000004</v>
      </c>
      <c r="AC30" s="63">
        <v>2708</v>
      </c>
      <c r="AD30" s="129">
        <v>6277</v>
      </c>
      <c r="AE30" s="63">
        <v>0</v>
      </c>
      <c r="AF30" s="63"/>
      <c r="AG30" s="63">
        <v>4824</v>
      </c>
      <c r="AH30" s="37">
        <v>0</v>
      </c>
      <c r="AI30" s="63">
        <v>0</v>
      </c>
      <c r="AJ30" s="63">
        <v>0</v>
      </c>
      <c r="AK30" s="63"/>
      <c r="AL30" s="63">
        <v>0</v>
      </c>
      <c r="AM30" s="37">
        <v>0</v>
      </c>
      <c r="AN30" s="63">
        <v>0</v>
      </c>
      <c r="AO30" s="63">
        <v>0</v>
      </c>
      <c r="AP30" s="63"/>
      <c r="AQ30" s="63">
        <v>0</v>
      </c>
      <c r="AR30" s="63">
        <v>0</v>
      </c>
    </row>
    <row r="31" spans="2:44" ht="15" customHeight="1" x14ac:dyDescent="0.25">
      <c r="B31" s="62" t="s">
        <v>124</v>
      </c>
      <c r="C31" s="63">
        <v>-38419</v>
      </c>
      <c r="D31" s="63">
        <v>12825</v>
      </c>
      <c r="E31" s="63">
        <v>-85796</v>
      </c>
      <c r="F31" s="63">
        <v>3253</v>
      </c>
      <c r="G31" s="63">
        <v>-26939</v>
      </c>
      <c r="H31" s="63">
        <v>-62692</v>
      </c>
      <c r="I31" s="63">
        <v>-39353</v>
      </c>
      <c r="J31" s="63">
        <v>40661</v>
      </c>
      <c r="K31" s="63">
        <v>-192490</v>
      </c>
      <c r="M31" s="63">
        <v>-361452</v>
      </c>
      <c r="N31" s="63">
        <v>-350032</v>
      </c>
      <c r="O31" s="63">
        <v>-344912</v>
      </c>
      <c r="P31" s="63">
        <v>-104174</v>
      </c>
      <c r="Q31" s="63"/>
      <c r="R31" s="63">
        <v>-165588</v>
      </c>
      <c r="S31" s="63">
        <v>-1649605</v>
      </c>
      <c r="T31" s="63">
        <v>-1076540</v>
      </c>
      <c r="U31" s="63">
        <v>-135497</v>
      </c>
      <c r="V31" s="63"/>
      <c r="W31" s="63">
        <v>-144851</v>
      </c>
      <c r="X31" s="63">
        <v>-1006623</v>
      </c>
      <c r="Y31" s="63">
        <v>-841890</v>
      </c>
      <c r="Z31" s="63">
        <v>-562075</v>
      </c>
      <c r="AA31" s="63"/>
      <c r="AB31" s="63">
        <v>-65029.104819999542</v>
      </c>
      <c r="AC31" s="63">
        <v>-139524</v>
      </c>
      <c r="AD31" s="63">
        <v>2949</v>
      </c>
      <c r="AE31" s="63">
        <v>500601</v>
      </c>
      <c r="AF31" s="63"/>
      <c r="AG31" s="63">
        <v>8540</v>
      </c>
      <c r="AH31" s="113">
        <v>-464542</v>
      </c>
      <c r="AI31" s="63">
        <v>-745945</v>
      </c>
      <c r="AJ31" s="63">
        <v>-197917</v>
      </c>
      <c r="AK31" s="63"/>
      <c r="AL31" s="63">
        <v>-405898</v>
      </c>
      <c r="AM31" s="113">
        <v>-1384096</v>
      </c>
      <c r="AN31" s="63">
        <v>-629727</v>
      </c>
      <c r="AO31" s="63">
        <v>-550269</v>
      </c>
      <c r="AP31" s="63"/>
      <c r="AQ31" s="63">
        <v>-438344</v>
      </c>
      <c r="AR31" s="63">
        <v>-1348305</v>
      </c>
    </row>
    <row r="32" spans="2:44" ht="15" customHeight="1" x14ac:dyDescent="0.25">
      <c r="B32" s="62" t="s">
        <v>304</v>
      </c>
      <c r="C32" s="63"/>
      <c r="D32" s="63"/>
      <c r="E32" s="63"/>
      <c r="F32" s="63"/>
      <c r="G32" s="63"/>
      <c r="H32" s="63"/>
      <c r="I32" s="63"/>
      <c r="J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113"/>
      <c r="AH32" s="63"/>
      <c r="AI32" s="63"/>
      <c r="AJ32" s="63">
        <v>32308</v>
      </c>
      <c r="AK32" s="63"/>
      <c r="AL32" s="113">
        <v>-3228</v>
      </c>
      <c r="AM32" s="63">
        <v>77782</v>
      </c>
      <c r="AN32" s="63">
        <v>50008</v>
      </c>
      <c r="AO32" s="22">
        <v>77557</v>
      </c>
      <c r="AP32" s="63"/>
      <c r="AQ32" s="113">
        <v>-6121</v>
      </c>
      <c r="AR32" s="113">
        <v>-15076</v>
      </c>
    </row>
    <row r="33" spans="2:44" ht="15" customHeight="1" x14ac:dyDescent="0.25">
      <c r="B33" s="62" t="s">
        <v>125</v>
      </c>
      <c r="C33" s="63">
        <v>0</v>
      </c>
      <c r="D33" s="63">
        <v>0</v>
      </c>
      <c r="E33" s="63">
        <v>0</v>
      </c>
      <c r="F33" s="63">
        <v>0</v>
      </c>
      <c r="G33" s="63">
        <v>-10426</v>
      </c>
      <c r="H33" s="63">
        <v>0</v>
      </c>
      <c r="I33" s="63">
        <v>-31746</v>
      </c>
      <c r="J33" s="63">
        <v>-48702</v>
      </c>
      <c r="K33" s="63">
        <v>-44945</v>
      </c>
      <c r="M33" s="63">
        <v>-5424</v>
      </c>
      <c r="N33" s="63">
        <v>-12993</v>
      </c>
      <c r="O33" s="63">
        <v>-24318</v>
      </c>
      <c r="P33" s="63">
        <v>-12056</v>
      </c>
      <c r="Q33" s="63"/>
      <c r="R33" s="63">
        <v>-7122</v>
      </c>
      <c r="S33" s="63">
        <v>-2749</v>
      </c>
      <c r="T33" s="63">
        <v>-20494</v>
      </c>
      <c r="U33" s="63">
        <v>-18507</v>
      </c>
      <c r="V33" s="63"/>
      <c r="W33" s="63">
        <v>-23079</v>
      </c>
      <c r="X33" s="63">
        <v>-64806</v>
      </c>
      <c r="Y33" s="63">
        <v>-89734</v>
      </c>
      <c r="Z33" s="63">
        <v>-85651</v>
      </c>
      <c r="AA33" s="63"/>
      <c r="AB33" s="63">
        <v>-17146</v>
      </c>
      <c r="AC33" s="63">
        <v>-9477</v>
      </c>
      <c r="AD33" s="63">
        <v>-58659</v>
      </c>
      <c r="AE33" s="63">
        <v>-88668</v>
      </c>
      <c r="AF33" s="63"/>
      <c r="AG33" s="63">
        <v>-16827</v>
      </c>
      <c r="AH33" s="113">
        <v>-15525</v>
      </c>
      <c r="AI33" s="63">
        <v>-32965</v>
      </c>
      <c r="AJ33" s="63">
        <v>-58105</v>
      </c>
      <c r="AK33" s="63"/>
      <c r="AL33" s="63">
        <v>31200</v>
      </c>
      <c r="AM33" s="113">
        <v>-52149</v>
      </c>
      <c r="AN33" s="63">
        <v>-139541</v>
      </c>
      <c r="AO33" s="63">
        <v>-144381</v>
      </c>
      <c r="AP33" s="63"/>
      <c r="AQ33" s="63">
        <v>-94379</v>
      </c>
      <c r="AR33" s="63">
        <v>-141264</v>
      </c>
    </row>
    <row r="34" spans="2:44" ht="15" customHeight="1" x14ac:dyDescent="0.25">
      <c r="B34" s="62" t="s">
        <v>126</v>
      </c>
      <c r="C34" s="63">
        <v>0</v>
      </c>
      <c r="D34" s="63">
        <v>0</v>
      </c>
      <c r="E34" s="63">
        <v>0</v>
      </c>
      <c r="F34" s="63">
        <v>0</v>
      </c>
      <c r="G34" s="63">
        <v>0</v>
      </c>
      <c r="H34" s="63">
        <v>0</v>
      </c>
      <c r="I34" s="63">
        <v>0</v>
      </c>
      <c r="J34" s="63">
        <v>0</v>
      </c>
      <c r="K34" s="63">
        <v>0</v>
      </c>
      <c r="M34" s="63">
        <v>5373</v>
      </c>
      <c r="N34" s="63">
        <v>-3451</v>
      </c>
      <c r="O34" s="63">
        <v>5455</v>
      </c>
      <c r="P34" s="63">
        <v>0</v>
      </c>
      <c r="Q34" s="63"/>
      <c r="R34" s="63">
        <v>8547</v>
      </c>
      <c r="S34" s="63">
        <v>4947</v>
      </c>
      <c r="T34" s="63">
        <v>7615</v>
      </c>
      <c r="U34" s="63">
        <v>11706</v>
      </c>
      <c r="V34" s="63"/>
      <c r="W34" s="63">
        <v>543</v>
      </c>
      <c r="X34" s="63">
        <v>79</v>
      </c>
      <c r="Y34" s="63">
        <v>489</v>
      </c>
      <c r="Z34" s="63">
        <v>-8784</v>
      </c>
      <c r="AA34" s="63"/>
      <c r="AB34" s="63">
        <v>5080.8261099999991</v>
      </c>
      <c r="AC34" s="63">
        <v>648</v>
      </c>
      <c r="AD34" s="63">
        <v>8879</v>
      </c>
      <c r="AE34" s="63">
        <v>7821</v>
      </c>
      <c r="AF34" s="63"/>
      <c r="AG34" s="63">
        <v>761</v>
      </c>
      <c r="AH34" s="113">
        <v>99</v>
      </c>
      <c r="AI34" s="63">
        <v>434</v>
      </c>
      <c r="AJ34" s="63">
        <v>-2285</v>
      </c>
      <c r="AK34" s="63"/>
      <c r="AL34" s="63">
        <v>260</v>
      </c>
      <c r="AM34" s="113">
        <v>1835</v>
      </c>
      <c r="AN34" s="63">
        <v>-185494</v>
      </c>
      <c r="AO34" s="63">
        <v>13230</v>
      </c>
      <c r="AP34" s="63"/>
      <c r="AQ34" s="63">
        <v>-32310</v>
      </c>
      <c r="AR34" s="63">
        <v>-279803</v>
      </c>
    </row>
    <row r="35" spans="2:44" ht="15" customHeight="1" x14ac:dyDescent="0.25">
      <c r="B35" s="62" t="s">
        <v>127</v>
      </c>
      <c r="C35" s="63">
        <v>2243</v>
      </c>
      <c r="D35" s="63">
        <v>-886</v>
      </c>
      <c r="E35" s="63">
        <v>-2265</v>
      </c>
      <c r="F35" s="63">
        <v>-2408</v>
      </c>
      <c r="G35" s="63">
        <v>0</v>
      </c>
      <c r="H35" s="63">
        <v>209</v>
      </c>
      <c r="I35" s="63">
        <v>-840</v>
      </c>
      <c r="J35" s="63">
        <v>0</v>
      </c>
      <c r="K35" s="63">
        <v>0</v>
      </c>
      <c r="M35" s="63">
        <v>-10073</v>
      </c>
      <c r="N35" s="63">
        <v>588</v>
      </c>
      <c r="O35" s="63">
        <v>707</v>
      </c>
      <c r="P35" s="63">
        <v>0</v>
      </c>
      <c r="Q35" s="63"/>
      <c r="R35" s="63">
        <v>-9401</v>
      </c>
      <c r="S35" s="63">
        <v>-22016</v>
      </c>
      <c r="T35" s="63">
        <v>-18796</v>
      </c>
      <c r="U35" s="63">
        <v>-8267</v>
      </c>
      <c r="V35" s="63"/>
      <c r="W35" s="63">
        <v>1754</v>
      </c>
      <c r="X35" s="63">
        <v>-7132</v>
      </c>
      <c r="Y35" s="63">
        <v>5823</v>
      </c>
      <c r="Z35" s="63">
        <v>-3563</v>
      </c>
      <c r="AA35" s="63"/>
      <c r="AB35" s="63">
        <v>-6166.6156899999987</v>
      </c>
      <c r="AC35" s="63">
        <v>-7625</v>
      </c>
      <c r="AD35" s="63">
        <v>-4177</v>
      </c>
      <c r="AE35" s="63">
        <v>-3570</v>
      </c>
      <c r="AF35" s="63"/>
      <c r="AG35" s="63">
        <v>-1970</v>
      </c>
      <c r="AH35" s="113">
        <v>4078</v>
      </c>
      <c r="AI35" s="63">
        <v>-6303</v>
      </c>
      <c r="AJ35" s="63">
        <v>696</v>
      </c>
      <c r="AK35" s="63"/>
      <c r="AL35" s="63">
        <v>822</v>
      </c>
      <c r="AM35" s="113">
        <v>-7968</v>
      </c>
      <c r="AN35" s="63">
        <v>-70005</v>
      </c>
      <c r="AO35" s="63">
        <v>-53519</v>
      </c>
      <c r="AP35" s="63"/>
      <c r="AQ35" s="63">
        <v>-87190</v>
      </c>
      <c r="AR35" s="63">
        <v>-120124</v>
      </c>
    </row>
    <row r="36" spans="2:44" ht="15" customHeight="1" x14ac:dyDescent="0.25">
      <c r="B36" s="62" t="s">
        <v>128</v>
      </c>
      <c r="C36" s="63">
        <v>0</v>
      </c>
      <c r="D36" s="63">
        <v>0</v>
      </c>
      <c r="E36" s="63">
        <v>0</v>
      </c>
      <c r="F36" s="63">
        <v>0</v>
      </c>
      <c r="G36" s="63">
        <v>0</v>
      </c>
      <c r="H36" s="63">
        <v>1557</v>
      </c>
      <c r="I36" s="63">
        <v>3466</v>
      </c>
      <c r="J36" s="63">
        <v>0</v>
      </c>
      <c r="K36" s="63">
        <v>0</v>
      </c>
      <c r="M36" s="63">
        <v>0</v>
      </c>
      <c r="N36" s="63">
        <v>0</v>
      </c>
      <c r="O36" s="63">
        <v>0</v>
      </c>
      <c r="P36" s="63">
        <v>0</v>
      </c>
      <c r="Q36" s="63"/>
      <c r="R36" s="63">
        <v>-823</v>
      </c>
      <c r="S36" s="63">
        <v>-1347</v>
      </c>
      <c r="T36" s="63">
        <v>-2136</v>
      </c>
      <c r="U36" s="63">
        <v>3920</v>
      </c>
      <c r="V36" s="63"/>
      <c r="W36" s="63">
        <v>-588</v>
      </c>
      <c r="X36" s="63">
        <v>-1308</v>
      </c>
      <c r="Y36" s="63">
        <v>-1216</v>
      </c>
      <c r="Z36" s="63">
        <v>6643</v>
      </c>
      <c r="AA36" s="63"/>
      <c r="AB36" s="63">
        <v>-330.28960000000006</v>
      </c>
      <c r="AC36" s="63">
        <v>-592</v>
      </c>
      <c r="AD36" s="63">
        <v>-638</v>
      </c>
      <c r="AE36" s="63">
        <v>3023</v>
      </c>
      <c r="AF36" s="63"/>
      <c r="AG36" s="63">
        <v>-37</v>
      </c>
      <c r="AH36" s="113">
        <v>-172</v>
      </c>
      <c r="AI36" s="63">
        <v>-250</v>
      </c>
      <c r="AJ36" s="63">
        <v>3558</v>
      </c>
      <c r="AK36" s="63"/>
      <c r="AL36" s="63">
        <v>-194</v>
      </c>
      <c r="AM36" s="113">
        <v>-320</v>
      </c>
      <c r="AN36" s="63">
        <v>-360</v>
      </c>
      <c r="AO36" s="63">
        <v>9909</v>
      </c>
      <c r="AP36" s="63"/>
      <c r="AQ36" s="63">
        <v>0</v>
      </c>
      <c r="AR36" s="63">
        <v>0</v>
      </c>
    </row>
    <row r="37" spans="2:44" ht="15" customHeight="1" x14ac:dyDescent="0.25">
      <c r="B37" s="62" t="s">
        <v>129</v>
      </c>
      <c r="C37" s="63">
        <v>0</v>
      </c>
      <c r="D37" s="63">
        <v>0</v>
      </c>
      <c r="E37" s="63">
        <v>0</v>
      </c>
      <c r="F37" s="63">
        <v>0</v>
      </c>
      <c r="G37" s="63">
        <v>0</v>
      </c>
      <c r="H37" s="63">
        <v>0</v>
      </c>
      <c r="I37" s="63">
        <v>0</v>
      </c>
      <c r="J37" s="63">
        <v>0</v>
      </c>
      <c r="K37" s="63">
        <v>0</v>
      </c>
      <c r="M37" s="63">
        <v>-16</v>
      </c>
      <c r="N37" s="63">
        <v>-16</v>
      </c>
      <c r="O37" s="63">
        <v>-16</v>
      </c>
      <c r="P37" s="63">
        <v>0</v>
      </c>
      <c r="Q37" s="63"/>
      <c r="R37" s="63">
        <v>0</v>
      </c>
      <c r="S37" s="63">
        <v>76</v>
      </c>
      <c r="T37" s="63">
        <v>76</v>
      </c>
      <c r="U37" s="63">
        <v>76</v>
      </c>
      <c r="V37" s="63"/>
      <c r="W37" s="63">
        <v>15</v>
      </c>
      <c r="X37" s="63">
        <v>15</v>
      </c>
      <c r="Y37" s="63">
        <v>26</v>
      </c>
      <c r="Z37" s="63">
        <v>93</v>
      </c>
      <c r="AA37" s="63"/>
      <c r="AB37" s="63">
        <v>-50.819400000000002</v>
      </c>
      <c r="AC37" s="63">
        <v>21</v>
      </c>
      <c r="AD37" s="63">
        <v>3</v>
      </c>
      <c r="AE37" s="63">
        <v>5</v>
      </c>
      <c r="AF37" s="63"/>
      <c r="AG37" s="63">
        <v>-17</v>
      </c>
      <c r="AH37" s="113">
        <v>-64</v>
      </c>
      <c r="AI37" s="63">
        <v>-64</v>
      </c>
      <c r="AJ37" s="63">
        <v>-52</v>
      </c>
      <c r="AK37" s="63"/>
      <c r="AL37" s="63">
        <v>29</v>
      </c>
      <c r="AM37" s="113">
        <v>33</v>
      </c>
      <c r="AN37" s="63">
        <v>46</v>
      </c>
      <c r="AO37" s="63">
        <v>-33</v>
      </c>
      <c r="AP37" s="63"/>
      <c r="AQ37" s="63">
        <v>-48</v>
      </c>
      <c r="AR37" s="63">
        <v>-15</v>
      </c>
    </row>
    <row r="38" spans="2:44" ht="15" customHeight="1" x14ac:dyDescent="0.25">
      <c r="B38" s="62" t="s">
        <v>130</v>
      </c>
      <c r="C38" s="63">
        <v>-2817</v>
      </c>
      <c r="D38" s="63">
        <v>6256</v>
      </c>
      <c r="E38" s="63">
        <v>-1503</v>
      </c>
      <c r="F38" s="63">
        <v>-75010</v>
      </c>
      <c r="G38" s="63">
        <v>17171</v>
      </c>
      <c r="H38" s="63">
        <v>16201</v>
      </c>
      <c r="I38" s="63">
        <v>-9270</v>
      </c>
      <c r="J38" s="63">
        <v>-2678</v>
      </c>
      <c r="K38" s="63">
        <v>-6024</v>
      </c>
      <c r="M38" s="63">
        <v>-5903</v>
      </c>
      <c r="N38" s="63">
        <v>11606</v>
      </c>
      <c r="O38" s="63">
        <v>18311</v>
      </c>
      <c r="P38" s="63">
        <v>-1040</v>
      </c>
      <c r="Q38" s="63"/>
      <c r="R38" s="63">
        <v>-11885</v>
      </c>
      <c r="S38" s="63">
        <v>-7633</v>
      </c>
      <c r="T38" s="63">
        <v>13757</v>
      </c>
      <c r="U38" s="63">
        <v>-3672</v>
      </c>
      <c r="V38" s="63"/>
      <c r="W38" s="63">
        <v>-14621</v>
      </c>
      <c r="X38" s="63">
        <v>-21374</v>
      </c>
      <c r="Y38" s="63">
        <v>-14868</v>
      </c>
      <c r="Z38" s="63">
        <v>-29707</v>
      </c>
      <c r="AA38" s="63"/>
      <c r="AB38" s="63">
        <v>-9435.3059199999625</v>
      </c>
      <c r="AC38" s="63">
        <v>-5327</v>
      </c>
      <c r="AD38" s="63">
        <v>-3786</v>
      </c>
      <c r="AE38" s="63">
        <v>16058</v>
      </c>
      <c r="AF38" s="63"/>
      <c r="AG38" s="63">
        <v>-9908</v>
      </c>
      <c r="AH38" s="113">
        <v>-783</v>
      </c>
      <c r="AI38" s="63">
        <v>-8352</v>
      </c>
      <c r="AJ38" s="63">
        <v>2535</v>
      </c>
      <c r="AK38" s="63"/>
      <c r="AL38" s="63">
        <v>-4314</v>
      </c>
      <c r="AM38" s="113">
        <v>-10518</v>
      </c>
      <c r="AN38" s="63">
        <v>-10546</v>
      </c>
      <c r="AO38" s="63">
        <v>6002</v>
      </c>
      <c r="AP38" s="63"/>
      <c r="AQ38" s="63">
        <v>-12214</v>
      </c>
      <c r="AR38" s="63">
        <v>-16116</v>
      </c>
    </row>
    <row r="39" spans="2:44" ht="8.1" customHeight="1" x14ac:dyDescent="0.25">
      <c r="C39" s="63"/>
      <c r="D39" s="63"/>
      <c r="E39" s="63"/>
      <c r="F39" s="63"/>
      <c r="G39" s="63"/>
      <c r="H39" s="63"/>
      <c r="I39" s="63"/>
      <c r="J39" s="63"/>
      <c r="K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M39" s="63"/>
      <c r="AN39" s="63"/>
      <c r="AO39" s="63"/>
      <c r="AP39" s="63"/>
    </row>
    <row r="40" spans="2:44" s="23" customFormat="1" ht="15" customHeight="1" x14ac:dyDescent="0.25">
      <c r="B40" s="23" t="s">
        <v>131</v>
      </c>
      <c r="C40" s="63"/>
      <c r="D40" s="63"/>
      <c r="E40" s="63"/>
      <c r="F40" s="63"/>
      <c r="G40" s="63"/>
      <c r="H40" s="63"/>
      <c r="I40" s="63"/>
      <c r="J40" s="63"/>
      <c r="K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</row>
    <row r="41" spans="2:44" ht="15" customHeight="1" x14ac:dyDescent="0.25">
      <c r="B41" s="62" t="s">
        <v>132</v>
      </c>
      <c r="C41" s="63">
        <v>25935</v>
      </c>
      <c r="D41" s="63">
        <v>5596</v>
      </c>
      <c r="E41" s="63">
        <v>60629</v>
      </c>
      <c r="F41" s="63">
        <v>12038</v>
      </c>
      <c r="G41" s="63">
        <v>76726</v>
      </c>
      <c r="H41" s="63">
        <v>111030</v>
      </c>
      <c r="I41" s="63">
        <v>73296</v>
      </c>
      <c r="J41" s="63">
        <v>26613</v>
      </c>
      <c r="K41" s="63">
        <v>198509</v>
      </c>
      <c r="M41" s="63">
        <v>344321</v>
      </c>
      <c r="N41" s="63">
        <v>-1222</v>
      </c>
      <c r="O41" s="63">
        <v>58157</v>
      </c>
      <c r="P41" s="63">
        <v>71918</v>
      </c>
      <c r="Q41" s="63"/>
      <c r="R41" s="63">
        <v>307027</v>
      </c>
      <c r="S41" s="63">
        <v>416362</v>
      </c>
      <c r="T41" s="63">
        <v>352274</v>
      </c>
      <c r="U41" s="63">
        <v>-155346</v>
      </c>
      <c r="V41" s="63"/>
      <c r="W41" s="63">
        <v>50778</v>
      </c>
      <c r="X41" s="63">
        <v>-101060</v>
      </c>
      <c r="Y41" s="63">
        <v>511547</v>
      </c>
      <c r="Z41" s="63">
        <v>626131</v>
      </c>
      <c r="AA41" s="63"/>
      <c r="AB41" s="63">
        <v>199246.97548000002</v>
      </c>
      <c r="AC41" s="63">
        <v>-494013</v>
      </c>
      <c r="AD41" s="63">
        <v>-93220</v>
      </c>
      <c r="AE41" s="63">
        <v>152211</v>
      </c>
      <c r="AF41" s="63"/>
      <c r="AG41" s="63">
        <v>74310</v>
      </c>
      <c r="AH41" s="113">
        <v>-301775</v>
      </c>
      <c r="AI41" s="63">
        <v>-186932</v>
      </c>
      <c r="AJ41" s="63">
        <v>-164707</v>
      </c>
      <c r="AK41" s="63"/>
      <c r="AL41" s="63">
        <v>557319</v>
      </c>
      <c r="AM41" s="113">
        <v>-38160</v>
      </c>
      <c r="AN41" s="63">
        <v>495805</v>
      </c>
      <c r="AO41" s="113">
        <v>831498</v>
      </c>
      <c r="AP41" s="63"/>
      <c r="AQ41" s="63">
        <v>1113385</v>
      </c>
      <c r="AR41" s="63">
        <v>-39525</v>
      </c>
    </row>
    <row r="42" spans="2:44" ht="15" customHeight="1" x14ac:dyDescent="0.25">
      <c r="B42" s="62" t="s">
        <v>133</v>
      </c>
      <c r="C42" s="63">
        <v>-5017</v>
      </c>
      <c r="D42" s="63">
        <v>-2229</v>
      </c>
      <c r="E42" s="63">
        <v>-2103</v>
      </c>
      <c r="F42" s="63">
        <v>-7825</v>
      </c>
      <c r="G42" s="63">
        <v>-7908</v>
      </c>
      <c r="H42" s="63">
        <v>-3825</v>
      </c>
      <c r="I42" s="63">
        <v>30616</v>
      </c>
      <c r="J42" s="63">
        <v>-2539</v>
      </c>
      <c r="K42" s="63">
        <v>7578</v>
      </c>
      <c r="M42" s="63">
        <v>-12202</v>
      </c>
      <c r="N42" s="63">
        <v>-12666</v>
      </c>
      <c r="O42" s="63">
        <v>-426</v>
      </c>
      <c r="P42" s="63">
        <v>-11934</v>
      </c>
      <c r="Q42" s="63"/>
      <c r="R42" s="63">
        <v>-7773</v>
      </c>
      <c r="S42" s="63">
        <v>-7199</v>
      </c>
      <c r="T42" s="63">
        <v>-9268</v>
      </c>
      <c r="U42" s="63">
        <v>-4774</v>
      </c>
      <c r="V42" s="63"/>
      <c r="W42" s="63">
        <v>2465</v>
      </c>
      <c r="X42" s="63">
        <v>6257</v>
      </c>
      <c r="Y42" s="63">
        <v>26862</v>
      </c>
      <c r="Z42" s="63">
        <v>25244</v>
      </c>
      <c r="AA42" s="63"/>
      <c r="AB42" s="63">
        <v>953.7572599999985</v>
      </c>
      <c r="AC42" s="63">
        <v>-4775</v>
      </c>
      <c r="AD42" s="63">
        <v>-9357</v>
      </c>
      <c r="AE42" s="63">
        <v>-7094</v>
      </c>
      <c r="AF42" s="63"/>
      <c r="AG42" s="63">
        <v>3526</v>
      </c>
      <c r="AH42" s="113">
        <v>2518</v>
      </c>
      <c r="AI42" s="63">
        <v>13036</v>
      </c>
      <c r="AJ42" s="63">
        <v>66361</v>
      </c>
      <c r="AK42" s="63"/>
      <c r="AL42" s="63">
        <v>6278</v>
      </c>
      <c r="AM42" s="113">
        <v>-11971</v>
      </c>
      <c r="AN42" s="63">
        <v>1156</v>
      </c>
      <c r="AO42" s="63">
        <v>7627</v>
      </c>
      <c r="AP42" s="63"/>
      <c r="AQ42" s="63">
        <v>8909</v>
      </c>
      <c r="AR42" s="63">
        <v>-3740</v>
      </c>
    </row>
    <row r="43" spans="2:44" ht="15" customHeight="1" x14ac:dyDescent="0.25">
      <c r="B43" s="62" t="s">
        <v>134</v>
      </c>
      <c r="C43" s="63">
        <v>-800</v>
      </c>
      <c r="D43" s="63">
        <v>333</v>
      </c>
      <c r="E43" s="63">
        <v>1116</v>
      </c>
      <c r="F43" s="63">
        <v>1829</v>
      </c>
      <c r="G43" s="63">
        <v>1430</v>
      </c>
      <c r="H43" s="63">
        <v>706</v>
      </c>
      <c r="I43" s="63">
        <v>1562</v>
      </c>
      <c r="J43" s="63">
        <v>2343</v>
      </c>
      <c r="K43" s="63">
        <v>2780</v>
      </c>
      <c r="M43" s="63">
        <v>1476</v>
      </c>
      <c r="N43" s="63">
        <v>215</v>
      </c>
      <c r="O43" s="63">
        <v>2563</v>
      </c>
      <c r="P43" s="63">
        <v>4633</v>
      </c>
      <c r="Q43" s="63"/>
      <c r="R43" s="63">
        <v>-3807</v>
      </c>
      <c r="S43" s="63">
        <v>-125</v>
      </c>
      <c r="T43" s="63">
        <v>4526</v>
      </c>
      <c r="U43" s="63">
        <v>8990</v>
      </c>
      <c r="V43" s="63"/>
      <c r="W43" s="63">
        <v>-4802</v>
      </c>
      <c r="X43" s="63">
        <v>1445</v>
      </c>
      <c r="Y43" s="63">
        <v>4974</v>
      </c>
      <c r="Z43" s="63">
        <v>11108</v>
      </c>
      <c r="AA43" s="63"/>
      <c r="AB43" s="63">
        <v>-6954.6108800000002</v>
      </c>
      <c r="AC43" s="63">
        <v>-1550</v>
      </c>
      <c r="AD43" s="63">
        <v>4312</v>
      </c>
      <c r="AE43" s="63">
        <v>8671</v>
      </c>
      <c r="AF43" s="63"/>
      <c r="AG43" s="63">
        <v>-10405</v>
      </c>
      <c r="AH43" s="113">
        <v>-728</v>
      </c>
      <c r="AI43" s="63">
        <v>5328</v>
      </c>
      <c r="AJ43" s="63">
        <v>32059</v>
      </c>
      <c r="AK43" s="63"/>
      <c r="AL43" s="63">
        <v>-31137</v>
      </c>
      <c r="AM43" s="113">
        <v>-21531</v>
      </c>
      <c r="AN43" s="63">
        <v>-12957</v>
      </c>
      <c r="AO43" s="63">
        <v>17808</v>
      </c>
      <c r="AP43" s="63"/>
      <c r="AQ43" s="63">
        <v>-33611</v>
      </c>
      <c r="AR43" s="63">
        <v>-23394</v>
      </c>
    </row>
    <row r="44" spans="2:44" ht="15" customHeight="1" x14ac:dyDescent="0.25">
      <c r="B44" s="62" t="s">
        <v>135</v>
      </c>
      <c r="C44" s="63">
        <v>-5</v>
      </c>
      <c r="D44" s="63">
        <v>229</v>
      </c>
      <c r="E44" s="63">
        <v>-62</v>
      </c>
      <c r="F44" s="63">
        <v>-365</v>
      </c>
      <c r="G44" s="63">
        <v>2923</v>
      </c>
      <c r="H44" s="63">
        <v>-1697</v>
      </c>
      <c r="I44" s="63">
        <v>3895</v>
      </c>
      <c r="J44" s="63">
        <v>-836</v>
      </c>
      <c r="K44" s="63">
        <v>-711</v>
      </c>
      <c r="M44" s="63">
        <v>-96</v>
      </c>
      <c r="N44" s="63">
        <v>-437</v>
      </c>
      <c r="O44" s="63">
        <v>4601</v>
      </c>
      <c r="P44" s="63">
        <v>3211</v>
      </c>
      <c r="Q44" s="63"/>
      <c r="R44" s="63">
        <v>-435</v>
      </c>
      <c r="S44" s="63">
        <v>-1076</v>
      </c>
      <c r="T44" s="63">
        <v>-1400</v>
      </c>
      <c r="U44" s="63">
        <v>-1654</v>
      </c>
      <c r="V44" s="63"/>
      <c r="W44" s="63">
        <v>-272</v>
      </c>
      <c r="X44" s="63">
        <v>-539</v>
      </c>
      <c r="Y44" s="63">
        <v>-807</v>
      </c>
      <c r="Z44" s="63">
        <v>-1089</v>
      </c>
      <c r="AA44" s="63"/>
      <c r="AB44" s="63">
        <v>-292.25351999999998</v>
      </c>
      <c r="AC44" s="63">
        <v>-595</v>
      </c>
      <c r="AD44" s="63">
        <v>-908</v>
      </c>
      <c r="AE44" s="63">
        <v>-1239</v>
      </c>
      <c r="AF44" s="63"/>
      <c r="AG44" s="63">
        <v>-343</v>
      </c>
      <c r="AH44" s="113">
        <v>-697</v>
      </c>
      <c r="AI44" s="63">
        <v>-1288</v>
      </c>
      <c r="AJ44" s="63">
        <v>-1605</v>
      </c>
      <c r="AK44" s="63"/>
      <c r="AL44" s="63">
        <v>-324</v>
      </c>
      <c r="AM44" s="113">
        <v>-656</v>
      </c>
      <c r="AN44" s="63">
        <v>-997</v>
      </c>
      <c r="AO44" s="63">
        <v>-1092</v>
      </c>
      <c r="AP44" s="63"/>
      <c r="AQ44" s="63">
        <v>-96</v>
      </c>
      <c r="AR44" s="63">
        <v>-192</v>
      </c>
    </row>
    <row r="45" spans="2:44" ht="15" customHeight="1" x14ac:dyDescent="0.25">
      <c r="B45" s="62" t="s">
        <v>136</v>
      </c>
      <c r="C45" s="63">
        <v>40954</v>
      </c>
      <c r="D45" s="63">
        <v>-32077</v>
      </c>
      <c r="E45" s="63">
        <v>7772</v>
      </c>
      <c r="F45" s="63">
        <v>25</v>
      </c>
      <c r="G45" s="63">
        <v>8181</v>
      </c>
      <c r="H45" s="63">
        <v>-2045</v>
      </c>
      <c r="I45" s="63">
        <v>2066</v>
      </c>
      <c r="J45" s="63">
        <v>4989</v>
      </c>
      <c r="K45" s="63">
        <v>9595</v>
      </c>
      <c r="M45" s="63">
        <v>4861</v>
      </c>
      <c r="N45" s="63">
        <v>48162</v>
      </c>
      <c r="O45" s="63">
        <v>-14658</v>
      </c>
      <c r="P45" s="63">
        <v>-13796</v>
      </c>
      <c r="Q45" s="63"/>
      <c r="R45" s="63">
        <v>4843</v>
      </c>
      <c r="S45" s="63">
        <v>230091</v>
      </c>
      <c r="T45" s="63">
        <v>48929</v>
      </c>
      <c r="U45" s="63">
        <v>3458</v>
      </c>
      <c r="V45" s="63"/>
      <c r="W45" s="63">
        <v>4527</v>
      </c>
      <c r="X45" s="63">
        <v>259</v>
      </c>
      <c r="Y45" s="63">
        <v>4033</v>
      </c>
      <c r="Z45" s="63">
        <v>7666</v>
      </c>
      <c r="AA45" s="63"/>
      <c r="AB45" s="63">
        <v>14526.706430000002</v>
      </c>
      <c r="AC45" s="63">
        <v>46902</v>
      </c>
      <c r="AD45" s="63">
        <v>34485</v>
      </c>
      <c r="AE45" s="63">
        <v>5996</v>
      </c>
      <c r="AF45" s="63"/>
      <c r="AG45" s="63">
        <v>51766</v>
      </c>
      <c r="AH45" s="113">
        <v>61590</v>
      </c>
      <c r="AI45" s="63">
        <v>39590</v>
      </c>
      <c r="AJ45" s="63">
        <v>1265</v>
      </c>
      <c r="AK45" s="63"/>
      <c r="AL45" s="63">
        <v>36407</v>
      </c>
      <c r="AM45" s="113">
        <v>219838</v>
      </c>
      <c r="AN45" s="63">
        <v>306046</v>
      </c>
      <c r="AO45" s="63">
        <v>232289</v>
      </c>
      <c r="AP45" s="63"/>
      <c r="AQ45" s="63">
        <v>-23982</v>
      </c>
      <c r="AR45" s="63">
        <v>235708</v>
      </c>
    </row>
    <row r="46" spans="2:44" ht="15" customHeight="1" x14ac:dyDescent="0.25">
      <c r="B46" s="62" t="s">
        <v>123</v>
      </c>
      <c r="C46" s="63">
        <v>0</v>
      </c>
      <c r="D46" s="63">
        <v>0</v>
      </c>
      <c r="E46" s="63">
        <v>0</v>
      </c>
      <c r="F46" s="63">
        <v>0</v>
      </c>
      <c r="G46" s="63">
        <v>-29430</v>
      </c>
      <c r="H46" s="63">
        <v>3156</v>
      </c>
      <c r="I46" s="63">
        <v>-1716</v>
      </c>
      <c r="J46" s="63">
        <v>-4341</v>
      </c>
      <c r="K46" s="63">
        <v>-20</v>
      </c>
      <c r="M46" s="63">
        <v>3330</v>
      </c>
      <c r="N46" s="63">
        <v>-176820</v>
      </c>
      <c r="O46" s="63">
        <v>66056</v>
      </c>
      <c r="P46" s="63">
        <v>-265301</v>
      </c>
      <c r="Q46" s="63"/>
      <c r="R46" s="63">
        <v>135974</v>
      </c>
      <c r="S46" s="63">
        <v>224436</v>
      </c>
      <c r="T46" s="63">
        <v>22498</v>
      </c>
      <c r="U46" s="63">
        <v>4358</v>
      </c>
      <c r="V46" s="63"/>
      <c r="W46" s="63">
        <v>9219</v>
      </c>
      <c r="X46" s="63">
        <v>-11867</v>
      </c>
      <c r="Y46" s="63">
        <v>414</v>
      </c>
      <c r="Z46" s="63">
        <v>2081</v>
      </c>
      <c r="AA46" s="63"/>
      <c r="AB46" s="63">
        <v>-2380.9908099999957</v>
      </c>
      <c r="AC46" s="63">
        <v>6412</v>
      </c>
      <c r="AD46" s="63">
        <v>51242</v>
      </c>
      <c r="AE46" s="63">
        <v>0</v>
      </c>
      <c r="AF46" s="63"/>
      <c r="AG46" s="63">
        <v>-8972</v>
      </c>
      <c r="AH46" s="113">
        <v>0</v>
      </c>
      <c r="AI46" s="63">
        <v>0</v>
      </c>
      <c r="AJ46" s="63">
        <v>0</v>
      </c>
      <c r="AK46" s="63">
        <v>0</v>
      </c>
      <c r="AL46" s="63">
        <v>0</v>
      </c>
      <c r="AM46" s="63">
        <v>0</v>
      </c>
      <c r="AN46" s="63">
        <v>0</v>
      </c>
      <c r="AO46" s="63">
        <v>0</v>
      </c>
      <c r="AP46" s="63">
        <v>0</v>
      </c>
      <c r="AQ46" s="63">
        <v>0</v>
      </c>
      <c r="AR46" s="63">
        <v>0</v>
      </c>
    </row>
    <row r="47" spans="2:44" ht="15" customHeight="1" x14ac:dyDescent="0.25">
      <c r="B47" s="62" t="s">
        <v>305</v>
      </c>
      <c r="C47" s="63"/>
      <c r="D47" s="63"/>
      <c r="E47" s="63"/>
      <c r="F47" s="63"/>
      <c r="G47" s="63"/>
      <c r="H47" s="63"/>
      <c r="I47" s="63"/>
      <c r="J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113">
        <v>0</v>
      </c>
      <c r="AH47" s="63">
        <v>0</v>
      </c>
      <c r="AI47" s="63">
        <v>0</v>
      </c>
      <c r="AJ47" s="63">
        <v>0</v>
      </c>
      <c r="AK47" s="63">
        <v>0</v>
      </c>
      <c r="AL47" s="63">
        <v>-30</v>
      </c>
      <c r="AM47" s="63">
        <v>0</v>
      </c>
      <c r="AN47" s="63">
        <v>0</v>
      </c>
      <c r="AO47" s="63">
        <v>0</v>
      </c>
      <c r="AP47" s="63">
        <v>0</v>
      </c>
      <c r="AQ47" s="63">
        <v>0</v>
      </c>
      <c r="AR47" s="63">
        <v>0</v>
      </c>
    </row>
    <row r="48" spans="2:44" ht="15" customHeight="1" x14ac:dyDescent="0.25">
      <c r="B48" s="62"/>
      <c r="C48" s="63"/>
      <c r="D48" s="63"/>
      <c r="E48" s="63"/>
      <c r="F48" s="63"/>
      <c r="G48" s="63"/>
      <c r="H48" s="63"/>
      <c r="I48" s="63"/>
      <c r="J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11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</row>
    <row r="49" spans="2:44" ht="15" customHeight="1" x14ac:dyDescent="0.25">
      <c r="B49" s="62" t="s">
        <v>137</v>
      </c>
      <c r="C49" s="63">
        <v>0</v>
      </c>
      <c r="D49" s="63">
        <v>0</v>
      </c>
      <c r="E49" s="63">
        <v>0</v>
      </c>
      <c r="F49" s="63">
        <v>0</v>
      </c>
      <c r="G49" s="63">
        <v>0</v>
      </c>
      <c r="H49" s="63">
        <v>0</v>
      </c>
      <c r="I49" s="63">
        <v>0</v>
      </c>
      <c r="J49" s="63">
        <v>0</v>
      </c>
      <c r="K49" s="63">
        <v>0</v>
      </c>
      <c r="M49" s="63">
        <v>0</v>
      </c>
      <c r="N49" s="63">
        <v>0</v>
      </c>
      <c r="O49" s="63">
        <v>0</v>
      </c>
      <c r="P49" s="63">
        <v>0</v>
      </c>
      <c r="Q49" s="63"/>
      <c r="R49" s="63">
        <v>0</v>
      </c>
      <c r="S49" s="63">
        <v>0</v>
      </c>
      <c r="T49" s="63">
        <v>0</v>
      </c>
      <c r="U49" s="63">
        <v>0</v>
      </c>
      <c r="V49" s="63"/>
      <c r="W49" s="63">
        <v>0</v>
      </c>
      <c r="X49" s="63">
        <v>0</v>
      </c>
      <c r="Y49" s="63">
        <v>0</v>
      </c>
      <c r="Z49" s="63">
        <v>0</v>
      </c>
      <c r="AA49" s="63"/>
      <c r="AB49" s="63">
        <v>0</v>
      </c>
      <c r="AC49" s="63">
        <v>0</v>
      </c>
      <c r="AD49" s="63">
        <v>0</v>
      </c>
      <c r="AE49" s="63">
        <v>0</v>
      </c>
      <c r="AF49" s="63"/>
      <c r="AG49" s="63">
        <v>0</v>
      </c>
      <c r="AH49" s="113"/>
      <c r="AI49" s="63">
        <v>0</v>
      </c>
      <c r="AJ49" s="63">
        <v>0</v>
      </c>
      <c r="AK49" s="63">
        <v>0</v>
      </c>
      <c r="AL49" s="63">
        <v>0</v>
      </c>
      <c r="AM49" s="63">
        <v>0</v>
      </c>
      <c r="AN49" s="63">
        <v>0</v>
      </c>
      <c r="AO49" s="63">
        <v>0</v>
      </c>
      <c r="AP49" s="63">
        <v>0</v>
      </c>
      <c r="AQ49" s="63">
        <v>0</v>
      </c>
      <c r="AR49" s="63">
        <v>0</v>
      </c>
    </row>
    <row r="50" spans="2:44" ht="15" customHeight="1" x14ac:dyDescent="0.25">
      <c r="B50" s="62" t="s">
        <v>138</v>
      </c>
      <c r="C50" s="63">
        <v>-387</v>
      </c>
      <c r="D50" s="63">
        <v>-561</v>
      </c>
      <c r="E50" s="63">
        <v>-2249</v>
      </c>
      <c r="F50" s="63">
        <v>-722</v>
      </c>
      <c r="G50" s="63">
        <v>-358</v>
      </c>
      <c r="H50" s="63">
        <v>465</v>
      </c>
      <c r="I50" s="63">
        <v>495</v>
      </c>
      <c r="J50" s="63">
        <v>848</v>
      </c>
      <c r="K50" s="63">
        <v>8816</v>
      </c>
      <c r="M50" s="63">
        <v>-9237</v>
      </c>
      <c r="N50" s="63">
        <v>2051</v>
      </c>
      <c r="O50" s="63">
        <v>-4243</v>
      </c>
      <c r="P50" s="63">
        <v>11479</v>
      </c>
      <c r="Q50" s="63"/>
      <c r="R50" s="63">
        <v>4521</v>
      </c>
      <c r="S50" s="63">
        <v>1719</v>
      </c>
      <c r="T50" s="63">
        <v>9458</v>
      </c>
      <c r="U50" s="63">
        <v>-622</v>
      </c>
      <c r="V50" s="63"/>
      <c r="W50" s="63">
        <v>19935</v>
      </c>
      <c r="X50" s="63">
        <v>20949</v>
      </c>
      <c r="Y50" s="63">
        <v>38241</v>
      </c>
      <c r="Z50" s="63">
        <v>26547</v>
      </c>
      <c r="AA50" s="63"/>
      <c r="AB50" s="63">
        <v>-6754</v>
      </c>
      <c r="AC50" s="63">
        <v>-9229</v>
      </c>
      <c r="AD50" s="63">
        <v>-6187</v>
      </c>
      <c r="AE50" s="63">
        <v>-15842</v>
      </c>
      <c r="AF50" s="63"/>
      <c r="AG50" s="63">
        <v>5278</v>
      </c>
      <c r="AH50" s="113">
        <v>702</v>
      </c>
      <c r="AI50" s="63">
        <v>68662</v>
      </c>
      <c r="AJ50" s="63">
        <v>72401</v>
      </c>
      <c r="AK50" s="63"/>
      <c r="AL50" s="63">
        <v>-20042</v>
      </c>
      <c r="AM50" s="113">
        <v>-12460</v>
      </c>
      <c r="AN50" s="63">
        <v>15264</v>
      </c>
      <c r="AO50" s="63">
        <v>37653</v>
      </c>
      <c r="AP50" s="63"/>
      <c r="AQ50" s="63">
        <v>9593</v>
      </c>
      <c r="AR50" s="63">
        <v>-54930</v>
      </c>
    </row>
    <row r="51" spans="2:44" ht="15" customHeight="1" x14ac:dyDescent="0.25">
      <c r="B51" s="23" t="s">
        <v>323</v>
      </c>
      <c r="C51" s="63"/>
      <c r="D51" s="63"/>
      <c r="E51" s="63"/>
      <c r="F51" s="63"/>
      <c r="G51" s="63"/>
      <c r="H51" s="63"/>
      <c r="I51" s="63"/>
      <c r="J51" s="63"/>
      <c r="K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>
        <f>SUM(AG6:AG50)</f>
        <v>-39331</v>
      </c>
      <c r="AH51" s="63">
        <f>SUM(AH6:AH50)</f>
        <v>136480</v>
      </c>
      <c r="AI51" s="63">
        <f>SUM(AI6:AI50)</f>
        <v>252537</v>
      </c>
      <c r="AJ51" s="63">
        <f>SUM(AJ6:AJ50)</f>
        <v>839362</v>
      </c>
      <c r="AK51" s="63"/>
      <c r="AL51" s="63">
        <f>SUM(AL6:AL50)</f>
        <v>211713</v>
      </c>
      <c r="AM51" s="63">
        <f>SUM(AM6:AM50)</f>
        <v>-766393</v>
      </c>
      <c r="AN51" s="63">
        <f>SUM(AN6:AN50)</f>
        <v>86774</v>
      </c>
      <c r="AO51" s="63">
        <f>SUM(AO6:AO50)</f>
        <v>774370</v>
      </c>
      <c r="AP51" s="63"/>
      <c r="AQ51" s="63">
        <v>215354</v>
      </c>
      <c r="AR51" s="63">
        <v>-882590</v>
      </c>
    </row>
    <row r="52" spans="2:44" ht="15" customHeight="1" x14ac:dyDescent="0.25">
      <c r="B52" s="62" t="s">
        <v>139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M52" s="18"/>
      <c r="N52" s="18"/>
      <c r="O52" s="18"/>
      <c r="P52" s="18">
        <v>-9180</v>
      </c>
      <c r="R52" s="18"/>
      <c r="S52" s="18"/>
      <c r="T52" s="18">
        <v>0</v>
      </c>
      <c r="U52" s="18">
        <v>-16655</v>
      </c>
      <c r="W52" s="63">
        <v>-8452</v>
      </c>
      <c r="X52" s="63">
        <v>-19145</v>
      </c>
      <c r="Y52" s="63">
        <v>-21177</v>
      </c>
      <c r="Z52" s="63">
        <v>-21177</v>
      </c>
      <c r="AB52" s="63">
        <v>0</v>
      </c>
      <c r="AC52" s="63">
        <v>-1828</v>
      </c>
      <c r="AD52" s="63">
        <v>-3174</v>
      </c>
      <c r="AE52" s="63">
        <v>-4260</v>
      </c>
      <c r="AG52" s="63">
        <v>-1061</v>
      </c>
      <c r="AH52" s="63">
        <v>-11757</v>
      </c>
      <c r="AI52" s="63">
        <v>-27198</v>
      </c>
      <c r="AJ52" s="63">
        <v>-113150</v>
      </c>
      <c r="AK52" s="63"/>
      <c r="AL52" s="63">
        <v>-85951</v>
      </c>
      <c r="AM52" s="63">
        <v>-87645</v>
      </c>
      <c r="AN52" s="63">
        <v>-92641</v>
      </c>
      <c r="AO52" s="63">
        <v>-172076</v>
      </c>
      <c r="AP52" s="63"/>
      <c r="AQ52" s="63">
        <v>-23435</v>
      </c>
      <c r="AR52" s="63">
        <v>-78981</v>
      </c>
    </row>
    <row r="53" spans="2:44" s="23" customFormat="1" ht="15" customHeight="1" x14ac:dyDescent="0.25">
      <c r="B53" s="23" t="s">
        <v>140</v>
      </c>
      <c r="C53" s="65">
        <v>11784</v>
      </c>
      <c r="D53" s="65">
        <v>-13376</v>
      </c>
      <c r="E53" s="65">
        <v>-16186</v>
      </c>
      <c r="F53" s="65">
        <v>-33337</v>
      </c>
      <c r="G53" s="65">
        <v>75559</v>
      </c>
      <c r="H53" s="65">
        <v>99300</v>
      </c>
      <c r="I53" s="65">
        <v>44622</v>
      </c>
      <c r="J53" s="65">
        <v>97497</v>
      </c>
      <c r="K53" s="65">
        <v>19822</v>
      </c>
      <c r="M53" s="65">
        <v>-50778</v>
      </c>
      <c r="N53" s="65">
        <v>-110679</v>
      </c>
      <c r="O53" s="65">
        <v>-47454</v>
      </c>
      <c r="P53" s="65">
        <v>79979</v>
      </c>
      <c r="Q53" s="65"/>
      <c r="R53" s="65">
        <v>41409</v>
      </c>
      <c r="S53" s="65">
        <v>-243851</v>
      </c>
      <c r="T53" s="65">
        <v>83707</v>
      </c>
      <c r="U53" s="65">
        <v>105523</v>
      </c>
      <c r="V53" s="65"/>
      <c r="W53" s="116">
        <v>-197905.24648999859</v>
      </c>
      <c r="X53" s="116">
        <v>-495568</v>
      </c>
      <c r="Y53" s="116">
        <v>328191</v>
      </c>
      <c r="Z53" s="116">
        <v>257697</v>
      </c>
      <c r="AA53" s="65"/>
      <c r="AB53" s="116">
        <f>SUM(AB6:AB50)+2</f>
        <v>200139.44516839995</v>
      </c>
      <c r="AC53" s="116">
        <f>SUM(AC6:AC50)</f>
        <v>11315</v>
      </c>
      <c r="AD53" s="116">
        <f>SUM(AD6:AD50)</f>
        <v>654421</v>
      </c>
      <c r="AE53" s="116">
        <f>SUM(AE6:AE50)</f>
        <v>867765</v>
      </c>
      <c r="AF53" s="65"/>
      <c r="AG53" s="116">
        <f>SUM(AG51:AG52)</f>
        <v>-40392</v>
      </c>
      <c r="AH53" s="116">
        <f>SUM(AH51:AH52)</f>
        <v>124723</v>
      </c>
      <c r="AI53" s="116">
        <f>SUM(AI51:AI52)</f>
        <v>225339</v>
      </c>
      <c r="AJ53" s="116">
        <f>SUM(AJ51:AJ52)</f>
        <v>726212</v>
      </c>
      <c r="AK53" s="65"/>
      <c r="AL53" s="116">
        <f>SUM(AL51:AL52)</f>
        <v>125762</v>
      </c>
      <c r="AM53" s="116">
        <f>SUM(AM51:AM52)</f>
        <v>-854038</v>
      </c>
      <c r="AN53" s="116">
        <f>SUM(AN51:AN52)</f>
        <v>-5867</v>
      </c>
      <c r="AO53" s="116">
        <f>SUM(AO51:AO52)</f>
        <v>602294</v>
      </c>
      <c r="AP53" s="65"/>
      <c r="AQ53" s="116">
        <f>SUM(AQ51:AQ52)</f>
        <v>191919</v>
      </c>
      <c r="AR53" s="116">
        <f>SUM(AR51:AR52)</f>
        <v>-961571</v>
      </c>
    </row>
    <row r="54" spans="2:44" ht="16.8" customHeight="1" x14ac:dyDescent="0.25">
      <c r="B54" s="23"/>
      <c r="C54" s="18"/>
      <c r="D54" s="18"/>
      <c r="E54" s="18"/>
      <c r="F54" s="18"/>
      <c r="G54" s="18"/>
      <c r="H54" s="18"/>
      <c r="I54" s="18"/>
      <c r="J54" s="18"/>
      <c r="K54" s="18"/>
      <c r="M54" s="18"/>
      <c r="N54" s="18"/>
      <c r="O54" s="18"/>
      <c r="P54" s="18"/>
      <c r="R54" s="18"/>
      <c r="S54" s="18"/>
      <c r="T54" s="18"/>
      <c r="U54" s="18"/>
      <c r="W54" s="18"/>
      <c r="X54" s="18"/>
      <c r="Y54" s="18"/>
      <c r="Z54" s="18"/>
      <c r="AB54" s="116"/>
      <c r="AC54" s="18"/>
      <c r="AD54" s="18"/>
      <c r="AE54" s="18"/>
      <c r="AG54" s="116"/>
      <c r="AH54" s="18"/>
      <c r="AI54" s="18"/>
      <c r="AJ54" s="61"/>
      <c r="AL54" s="116"/>
      <c r="AM54" s="18"/>
      <c r="AN54" s="18"/>
      <c r="AO54" s="61"/>
      <c r="AQ54" s="116"/>
    </row>
    <row r="55" spans="2:44" s="23" customFormat="1" ht="16.8" customHeight="1" x14ac:dyDescent="0.25">
      <c r="B55" s="23" t="s">
        <v>141</v>
      </c>
      <c r="C55" s="61"/>
      <c r="D55" s="61"/>
      <c r="E55" s="61"/>
      <c r="F55" s="61"/>
      <c r="G55" s="61"/>
      <c r="H55" s="61"/>
      <c r="I55" s="61"/>
      <c r="J55" s="61"/>
      <c r="K55" s="61"/>
      <c r="M55" s="61"/>
      <c r="N55" s="61"/>
      <c r="O55" s="61"/>
      <c r="P55" s="61"/>
      <c r="R55" s="61"/>
      <c r="S55" s="61"/>
      <c r="T55" s="61"/>
      <c r="U55" s="61"/>
      <c r="W55" s="61"/>
      <c r="X55" s="61"/>
      <c r="Y55" s="61"/>
      <c r="Z55" s="61"/>
      <c r="AB55" s="18"/>
      <c r="AC55" s="61"/>
      <c r="AD55" s="61"/>
      <c r="AE55" s="61"/>
      <c r="AG55" s="18"/>
      <c r="AH55" s="61"/>
      <c r="AI55" s="61"/>
      <c r="AJ55" s="61"/>
      <c r="AL55" s="18"/>
      <c r="AM55" s="61"/>
      <c r="AN55" s="61"/>
      <c r="AO55" s="61"/>
      <c r="AQ55" s="18"/>
    </row>
    <row r="56" spans="2:44" ht="15" customHeight="1" x14ac:dyDescent="0.25">
      <c r="B56" s="22" t="s">
        <v>142</v>
      </c>
      <c r="C56" s="63">
        <v>0</v>
      </c>
      <c r="D56" s="63">
        <v>0</v>
      </c>
      <c r="E56" s="63">
        <v>0</v>
      </c>
      <c r="F56" s="63">
        <v>0</v>
      </c>
      <c r="G56" s="63">
        <v>0</v>
      </c>
      <c r="H56" s="63">
        <v>0</v>
      </c>
      <c r="I56" s="63">
        <v>0</v>
      </c>
      <c r="J56" s="63">
        <v>0</v>
      </c>
      <c r="K56" s="63">
        <v>0</v>
      </c>
      <c r="M56" s="63">
        <v>0</v>
      </c>
      <c r="N56" s="63">
        <v>0</v>
      </c>
      <c r="O56" s="63">
        <v>0</v>
      </c>
      <c r="P56" s="63">
        <v>3591</v>
      </c>
      <c r="Q56" s="63"/>
      <c r="R56" s="63">
        <v>0</v>
      </c>
      <c r="S56" s="63">
        <v>0</v>
      </c>
      <c r="T56" s="63">
        <v>0</v>
      </c>
      <c r="U56" s="63">
        <v>0</v>
      </c>
      <c r="V56" s="63"/>
      <c r="W56" s="63">
        <v>0</v>
      </c>
      <c r="X56" s="63">
        <v>0</v>
      </c>
      <c r="Y56" s="63">
        <v>0</v>
      </c>
      <c r="Z56" s="63">
        <v>0</v>
      </c>
      <c r="AA56" s="63"/>
      <c r="AB56" s="63">
        <v>0</v>
      </c>
      <c r="AC56" s="63">
        <v>0</v>
      </c>
      <c r="AD56" s="63">
        <v>0</v>
      </c>
      <c r="AE56" s="63">
        <v>0</v>
      </c>
      <c r="AF56" s="63"/>
      <c r="AG56" s="63">
        <v>0</v>
      </c>
      <c r="AH56" s="63">
        <v>0</v>
      </c>
      <c r="AI56" s="63">
        <v>0</v>
      </c>
      <c r="AJ56" s="63">
        <v>0</v>
      </c>
      <c r="AK56" s="63">
        <v>0</v>
      </c>
      <c r="AL56" s="63">
        <v>0</v>
      </c>
      <c r="AM56" s="63">
        <v>0</v>
      </c>
      <c r="AN56" s="63">
        <v>0</v>
      </c>
      <c r="AO56" s="63">
        <v>0</v>
      </c>
      <c r="AP56" s="63">
        <v>0</v>
      </c>
      <c r="AQ56" s="63">
        <v>0</v>
      </c>
      <c r="AR56" s="63">
        <v>0</v>
      </c>
    </row>
    <row r="57" spans="2:44" ht="15" customHeight="1" x14ac:dyDescent="0.25">
      <c r="B57" s="22" t="s">
        <v>143</v>
      </c>
      <c r="C57" s="63">
        <v>0</v>
      </c>
      <c r="D57" s="63">
        <v>0</v>
      </c>
      <c r="E57" s="63">
        <v>0</v>
      </c>
      <c r="F57" s="63">
        <v>0</v>
      </c>
      <c r="G57" s="63">
        <v>0</v>
      </c>
      <c r="H57" s="63">
        <v>0</v>
      </c>
      <c r="I57" s="63">
        <v>0</v>
      </c>
      <c r="J57" s="63">
        <v>0</v>
      </c>
      <c r="K57" s="63">
        <v>0</v>
      </c>
      <c r="M57" s="63">
        <v>0</v>
      </c>
      <c r="N57" s="63">
        <v>0</v>
      </c>
      <c r="O57" s="63">
        <v>0</v>
      </c>
      <c r="P57" s="63">
        <v>0</v>
      </c>
      <c r="Q57" s="63"/>
      <c r="R57" s="63">
        <v>0</v>
      </c>
      <c r="S57" s="63"/>
      <c r="T57" s="63">
        <v>-769428</v>
      </c>
      <c r="U57" s="63">
        <v>-739002</v>
      </c>
      <c r="V57" s="63"/>
      <c r="W57" s="63">
        <v>174731</v>
      </c>
      <c r="X57" s="63">
        <v>386294</v>
      </c>
      <c r="Y57" s="63">
        <v>449651</v>
      </c>
      <c r="Z57" s="63">
        <v>676191</v>
      </c>
      <c r="AA57" s="63"/>
      <c r="AB57" s="63">
        <v>15246.164610000036</v>
      </c>
      <c r="AC57" s="63">
        <v>27750</v>
      </c>
      <c r="AD57" s="63">
        <v>3686862</v>
      </c>
      <c r="AE57" s="63">
        <v>-196367</v>
      </c>
      <c r="AF57" s="63"/>
      <c r="AG57" s="63">
        <v>70374</v>
      </c>
      <c r="AH57" s="63">
        <v>51589</v>
      </c>
      <c r="AI57" s="63">
        <v>8357590</v>
      </c>
      <c r="AJ57" s="63">
        <v>-55851</v>
      </c>
      <c r="AK57" s="63"/>
      <c r="AL57" s="63">
        <v>-39020</v>
      </c>
      <c r="AM57" s="63">
        <v>-81730</v>
      </c>
      <c r="AN57" s="63">
        <v>-38327</v>
      </c>
      <c r="AO57" s="63">
        <v>-183582</v>
      </c>
      <c r="AP57" s="63"/>
      <c r="AQ57" s="63">
        <v>-13437</v>
      </c>
      <c r="AR57" s="63">
        <v>-25091</v>
      </c>
    </row>
    <row r="58" spans="2:44" ht="15" customHeight="1" x14ac:dyDescent="0.25">
      <c r="B58" s="22" t="s">
        <v>279</v>
      </c>
      <c r="C58" s="63"/>
      <c r="D58" s="63"/>
      <c r="E58" s="63"/>
      <c r="F58" s="63"/>
      <c r="G58" s="63"/>
      <c r="H58" s="63"/>
      <c r="I58" s="63"/>
      <c r="J58" s="63"/>
      <c r="K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>
        <v>-3691951</v>
      </c>
      <c r="AE58" s="63">
        <v>243314</v>
      </c>
      <c r="AF58" s="63"/>
      <c r="AG58" s="63">
        <v>0</v>
      </c>
      <c r="AH58" s="63">
        <v>0</v>
      </c>
      <c r="AI58" s="63">
        <v>-8105353</v>
      </c>
      <c r="AJ58" s="63">
        <v>272409</v>
      </c>
      <c r="AK58" s="63"/>
      <c r="AL58" s="63">
        <v>1376</v>
      </c>
      <c r="AM58" s="63">
        <v>1376</v>
      </c>
      <c r="AN58" s="63">
        <v>71306</v>
      </c>
      <c r="AO58" s="63">
        <v>71306</v>
      </c>
      <c r="AP58" s="63"/>
      <c r="AQ58" s="63">
        <v>10712</v>
      </c>
      <c r="AR58" s="63">
        <v>115346</v>
      </c>
    </row>
    <row r="59" spans="2:44" ht="15" customHeight="1" x14ac:dyDescent="0.25">
      <c r="B59" s="22" t="s">
        <v>144</v>
      </c>
      <c r="C59" s="63">
        <v>-69810</v>
      </c>
      <c r="D59" s="63">
        <v>-42743</v>
      </c>
      <c r="E59" s="63">
        <v>-39591</v>
      </c>
      <c r="F59" s="63">
        <v>-32582</v>
      </c>
      <c r="G59" s="63">
        <v>-27760</v>
      </c>
      <c r="H59" s="63">
        <v>-7973</v>
      </c>
      <c r="I59" s="63">
        <v>-11881</v>
      </c>
      <c r="J59" s="63">
        <v>-12460</v>
      </c>
      <c r="K59" s="63">
        <v>-59015</v>
      </c>
      <c r="M59" s="63">
        <v>-25703</v>
      </c>
      <c r="N59" s="63">
        <v>-40570</v>
      </c>
      <c r="O59" s="63">
        <v>-54565</v>
      </c>
      <c r="P59" s="63">
        <v>-77534</v>
      </c>
      <c r="Q59" s="63"/>
      <c r="R59" s="63">
        <v>-37316</v>
      </c>
      <c r="S59" s="63">
        <v>-102420</v>
      </c>
      <c r="T59" s="63">
        <v>-242902</v>
      </c>
      <c r="U59" s="63">
        <v>-384538</v>
      </c>
      <c r="V59" s="63"/>
      <c r="W59" s="63">
        <v>-122618</v>
      </c>
      <c r="X59" s="63">
        <v>-309172</v>
      </c>
      <c r="Y59" s="63">
        <v>-535718</v>
      </c>
      <c r="Z59" s="63">
        <v>-716072</v>
      </c>
      <c r="AA59" s="63"/>
      <c r="AB59" s="63">
        <v>-126794</v>
      </c>
      <c r="AC59" s="63">
        <v>-268872</v>
      </c>
      <c r="AD59" s="63">
        <v>-373236</v>
      </c>
      <c r="AE59" s="63">
        <v>-474938</v>
      </c>
      <c r="AF59" s="63"/>
      <c r="AG59" s="63">
        <v>-131217</v>
      </c>
      <c r="AH59" s="63">
        <v>-247203</v>
      </c>
      <c r="AI59" s="63">
        <v>-311749</v>
      </c>
      <c r="AJ59" s="63">
        <v>-696965</v>
      </c>
      <c r="AK59" s="63"/>
      <c r="AL59" s="63">
        <v>-240642</v>
      </c>
      <c r="AM59" s="63">
        <v>-831261</v>
      </c>
      <c r="AN59" s="63">
        <v>-1244259</v>
      </c>
      <c r="AO59" s="63">
        <v>-1658145</v>
      </c>
      <c r="AP59" s="63"/>
      <c r="AQ59" s="63">
        <v>-230374</v>
      </c>
      <c r="AR59" s="63">
        <v>-463997</v>
      </c>
    </row>
    <row r="60" spans="2:44" ht="15" customHeight="1" x14ac:dyDescent="0.25">
      <c r="B60" s="22" t="s">
        <v>145</v>
      </c>
      <c r="C60" s="63">
        <v>-78</v>
      </c>
      <c r="D60" s="63">
        <v>-289</v>
      </c>
      <c r="E60" s="63">
        <v>-71</v>
      </c>
      <c r="F60" s="63">
        <v>-129</v>
      </c>
      <c r="G60" s="63">
        <v>-243</v>
      </c>
      <c r="H60" s="63">
        <v>-268</v>
      </c>
      <c r="I60" s="63">
        <v>-58</v>
      </c>
      <c r="J60" s="63">
        <v>-104</v>
      </c>
      <c r="K60" s="63">
        <v>-189</v>
      </c>
      <c r="M60" s="63">
        <v>0</v>
      </c>
      <c r="N60" s="63">
        <v>0</v>
      </c>
      <c r="O60" s="63">
        <v>0</v>
      </c>
      <c r="P60" s="63">
        <v>-55</v>
      </c>
      <c r="Q60" s="63"/>
      <c r="R60" s="63">
        <v>-323</v>
      </c>
      <c r="S60" s="63">
        <v>-42</v>
      </c>
      <c r="T60" s="63">
        <v>-333</v>
      </c>
      <c r="U60" s="63">
        <v>0</v>
      </c>
      <c r="V60" s="63"/>
      <c r="W60" s="63">
        <v>0</v>
      </c>
      <c r="X60" s="63">
        <v>-22</v>
      </c>
      <c r="Y60" s="63">
        <v>-67</v>
      </c>
      <c r="Z60" s="63">
        <v>-67</v>
      </c>
      <c r="AA60" s="63"/>
      <c r="AB60" s="63">
        <v>-4055</v>
      </c>
      <c r="AC60" s="63">
        <v>-6568</v>
      </c>
      <c r="AD60" s="63">
        <v>-14970</v>
      </c>
      <c r="AE60" s="63">
        <v>-18784</v>
      </c>
      <c r="AF60" s="63"/>
      <c r="AG60" s="63">
        <v>-12362</v>
      </c>
      <c r="AH60" s="63">
        <v>-22129</v>
      </c>
      <c r="AI60" s="63">
        <v>-29991</v>
      </c>
      <c r="AJ60" s="63">
        <v>-36711</v>
      </c>
      <c r="AK60" s="63"/>
      <c r="AL60" s="63">
        <v>-7528</v>
      </c>
      <c r="AM60" s="63">
        <v>-11663</v>
      </c>
      <c r="AN60" s="63">
        <v>-20693</v>
      </c>
      <c r="AO60" s="63">
        <v>-33091</v>
      </c>
      <c r="AP60" s="63"/>
      <c r="AQ60" s="63">
        <v>-3888</v>
      </c>
      <c r="AR60" s="63">
        <v>-10656</v>
      </c>
    </row>
    <row r="61" spans="2:44" ht="15" customHeight="1" x14ac:dyDescent="0.25">
      <c r="B61" s="22" t="s">
        <v>324</v>
      </c>
      <c r="C61" s="63"/>
      <c r="D61" s="63"/>
      <c r="E61" s="63"/>
      <c r="F61" s="63"/>
      <c r="G61" s="63"/>
      <c r="H61" s="63"/>
      <c r="I61" s="63"/>
      <c r="J61" s="63"/>
      <c r="K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>
        <v>0</v>
      </c>
      <c r="X61" s="63">
        <v>0</v>
      </c>
      <c r="Y61" s="63">
        <v>0</v>
      </c>
      <c r="Z61" s="63">
        <v>0</v>
      </c>
      <c r="AA61" s="63"/>
      <c r="AB61" s="63">
        <v>0</v>
      </c>
      <c r="AC61" s="63">
        <v>0</v>
      </c>
      <c r="AD61" s="63">
        <v>0</v>
      </c>
      <c r="AE61" s="63">
        <v>0</v>
      </c>
      <c r="AF61" s="63"/>
      <c r="AG61" s="63">
        <v>0</v>
      </c>
      <c r="AH61" s="63">
        <v>0</v>
      </c>
      <c r="AI61" s="63">
        <v>0</v>
      </c>
      <c r="AJ61" s="63">
        <v>0</v>
      </c>
      <c r="AK61" s="63"/>
      <c r="AL61" s="63">
        <v>-474</v>
      </c>
      <c r="AM61" s="63">
        <v>-890</v>
      </c>
      <c r="AN61" s="63">
        <v>-2847</v>
      </c>
      <c r="AO61" s="63">
        <v>-14278</v>
      </c>
      <c r="AP61" s="63"/>
      <c r="AQ61" s="63">
        <v>-10893</v>
      </c>
      <c r="AR61" s="63">
        <v>-22784</v>
      </c>
    </row>
    <row r="62" spans="2:44" ht="15" customHeight="1" x14ac:dyDescent="0.25">
      <c r="B62" s="22" t="s">
        <v>146</v>
      </c>
      <c r="C62" s="63">
        <v>83</v>
      </c>
      <c r="D62" s="63">
        <v>-1</v>
      </c>
      <c r="E62" s="63">
        <v>359</v>
      </c>
      <c r="F62" s="63">
        <v>13951</v>
      </c>
      <c r="G62" s="63">
        <v>0</v>
      </c>
      <c r="H62" s="63">
        <v>0</v>
      </c>
      <c r="I62" s="63">
        <v>0</v>
      </c>
      <c r="J62" s="63">
        <v>0</v>
      </c>
      <c r="K62" s="63">
        <v>0</v>
      </c>
      <c r="M62" s="63">
        <v>0</v>
      </c>
      <c r="N62" s="63">
        <v>0</v>
      </c>
      <c r="O62" s="63">
        <v>0</v>
      </c>
      <c r="P62" s="63">
        <v>0</v>
      </c>
      <c r="Q62" s="63"/>
      <c r="R62" s="63">
        <v>0</v>
      </c>
      <c r="S62" s="63">
        <v>0</v>
      </c>
      <c r="T62" s="63">
        <v>0</v>
      </c>
      <c r="U62" s="63">
        <v>0</v>
      </c>
      <c r="V62" s="63"/>
      <c r="W62" s="63">
        <v>0</v>
      </c>
      <c r="X62" s="63">
        <v>-46</v>
      </c>
      <c r="Y62" s="63">
        <v>-282</v>
      </c>
      <c r="Z62" s="63" t="s">
        <v>226</v>
      </c>
      <c r="AA62" s="63"/>
      <c r="AB62" s="63">
        <v>0</v>
      </c>
      <c r="AC62" s="63">
        <v>0</v>
      </c>
      <c r="AD62" s="63">
        <v>0</v>
      </c>
      <c r="AE62" s="63">
        <v>0</v>
      </c>
      <c r="AF62" s="63"/>
      <c r="AG62" s="63">
        <v>0</v>
      </c>
      <c r="AH62" s="63">
        <v>0</v>
      </c>
      <c r="AI62" s="63">
        <v>0</v>
      </c>
      <c r="AJ62" s="63">
        <v>0</v>
      </c>
      <c r="AK62" s="63">
        <v>0</v>
      </c>
      <c r="AL62" s="63">
        <v>0</v>
      </c>
      <c r="AM62" s="63">
        <v>0</v>
      </c>
      <c r="AN62" s="63">
        <v>0</v>
      </c>
      <c r="AO62" s="63">
        <v>0</v>
      </c>
      <c r="AP62" s="63">
        <v>0</v>
      </c>
      <c r="AQ62" s="63">
        <v>0</v>
      </c>
      <c r="AR62" s="63">
        <v>0</v>
      </c>
    </row>
    <row r="63" spans="2:44" ht="15" customHeight="1" x14ac:dyDescent="0.25">
      <c r="B63" s="22" t="s">
        <v>260</v>
      </c>
      <c r="C63" s="63">
        <v>0</v>
      </c>
      <c r="D63" s="63">
        <v>0</v>
      </c>
      <c r="E63" s="63">
        <v>0</v>
      </c>
      <c r="F63" s="63">
        <v>0</v>
      </c>
      <c r="G63" s="63">
        <v>0</v>
      </c>
      <c r="H63" s="63">
        <v>0</v>
      </c>
      <c r="I63" s="63">
        <v>0</v>
      </c>
      <c r="J63" s="63">
        <v>0</v>
      </c>
      <c r="K63" s="63">
        <v>0</v>
      </c>
      <c r="M63" s="63">
        <v>0</v>
      </c>
      <c r="N63" s="63">
        <v>0</v>
      </c>
      <c r="O63" s="63">
        <v>0</v>
      </c>
      <c r="P63" s="63">
        <v>0</v>
      </c>
      <c r="Q63" s="63"/>
      <c r="R63" s="63"/>
      <c r="S63" s="63"/>
      <c r="T63" s="63"/>
      <c r="U63" s="63"/>
      <c r="V63" s="63"/>
      <c r="W63" s="63">
        <v>0</v>
      </c>
      <c r="X63" s="63">
        <v>0</v>
      </c>
      <c r="Y63" s="63">
        <v>0</v>
      </c>
      <c r="Z63" s="63">
        <v>0</v>
      </c>
      <c r="AA63" s="63"/>
      <c r="AB63" s="63">
        <v>0</v>
      </c>
      <c r="AC63" s="63">
        <v>0</v>
      </c>
      <c r="AD63" s="63">
        <v>-13024</v>
      </c>
      <c r="AE63" s="63">
        <v>-13024</v>
      </c>
      <c r="AF63" s="63"/>
      <c r="AG63" s="63">
        <v>0</v>
      </c>
      <c r="AH63" s="63">
        <v>0</v>
      </c>
      <c r="AI63" s="63">
        <v>0</v>
      </c>
      <c r="AJ63" s="63">
        <v>0</v>
      </c>
      <c r="AK63" s="63">
        <v>0</v>
      </c>
      <c r="AL63" s="63">
        <v>0</v>
      </c>
      <c r="AM63" s="63">
        <v>0</v>
      </c>
      <c r="AN63" s="63">
        <v>0</v>
      </c>
      <c r="AO63" s="63">
        <v>0</v>
      </c>
      <c r="AP63" s="63">
        <v>0</v>
      </c>
      <c r="AQ63" s="63">
        <v>0</v>
      </c>
      <c r="AR63" s="63">
        <v>0</v>
      </c>
    </row>
    <row r="64" spans="2:44" ht="15" customHeight="1" x14ac:dyDescent="0.25">
      <c r="B64" s="22" t="s">
        <v>325</v>
      </c>
      <c r="C64" s="63"/>
      <c r="D64" s="63"/>
      <c r="E64" s="63"/>
      <c r="F64" s="63"/>
      <c r="G64" s="63"/>
      <c r="H64" s="63"/>
      <c r="I64" s="63"/>
      <c r="J64" s="63"/>
      <c r="K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>
        <v>0</v>
      </c>
      <c r="X64" s="63">
        <v>0</v>
      </c>
      <c r="Y64" s="63">
        <v>0</v>
      </c>
      <c r="Z64" s="63">
        <v>0</v>
      </c>
      <c r="AA64" s="63"/>
      <c r="AB64" s="63">
        <v>0</v>
      </c>
      <c r="AC64" s="63">
        <v>0</v>
      </c>
      <c r="AD64" s="63">
        <v>0</v>
      </c>
      <c r="AE64" s="63">
        <v>0</v>
      </c>
      <c r="AF64" s="63"/>
      <c r="AG64" s="63">
        <v>0</v>
      </c>
      <c r="AH64" s="63">
        <v>-5250</v>
      </c>
      <c r="AI64" s="63">
        <v>-5250</v>
      </c>
      <c r="AJ64" s="63">
        <v>-5250</v>
      </c>
      <c r="AK64" s="63"/>
      <c r="AL64" s="63">
        <v>0</v>
      </c>
      <c r="AM64" s="63">
        <v>-13600</v>
      </c>
      <c r="AN64" s="63">
        <v>-13600</v>
      </c>
      <c r="AO64" s="63">
        <v>-13600</v>
      </c>
      <c r="AP64" s="63"/>
      <c r="AQ64" s="63">
        <v>0</v>
      </c>
      <c r="AR64" s="63">
        <v>0</v>
      </c>
    </row>
    <row r="65" spans="2:44" ht="15" customHeight="1" x14ac:dyDescent="0.25">
      <c r="B65" s="22" t="s">
        <v>280</v>
      </c>
      <c r="C65" s="63"/>
      <c r="D65" s="63"/>
      <c r="E65" s="63"/>
      <c r="F65" s="63"/>
      <c r="G65" s="63"/>
      <c r="H65" s="63"/>
      <c r="I65" s="63"/>
      <c r="J65" s="63"/>
      <c r="K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>
        <v>0</v>
      </c>
      <c r="X65" s="63">
        <v>0</v>
      </c>
      <c r="Y65" s="63">
        <v>0</v>
      </c>
      <c r="Z65" s="63">
        <v>0</v>
      </c>
      <c r="AA65" s="63"/>
      <c r="AB65" s="63">
        <v>0</v>
      </c>
      <c r="AC65" s="63">
        <v>0</v>
      </c>
      <c r="AD65" s="63">
        <v>0</v>
      </c>
      <c r="AE65" s="63">
        <v>0</v>
      </c>
      <c r="AF65" s="63"/>
      <c r="AG65" s="63">
        <v>0</v>
      </c>
      <c r="AH65" s="63">
        <v>0</v>
      </c>
      <c r="AI65" s="63">
        <v>0</v>
      </c>
      <c r="AJ65" s="63">
        <v>-928</v>
      </c>
      <c r="AK65" s="63"/>
      <c r="AL65" s="63">
        <v>595</v>
      </c>
      <c r="AM65" s="63">
        <v>595</v>
      </c>
      <c r="AN65" s="63">
        <v>595</v>
      </c>
      <c r="AO65" s="63">
        <v>595</v>
      </c>
      <c r="AP65" s="63"/>
      <c r="AQ65" s="63">
        <v>0</v>
      </c>
      <c r="AR65" s="63">
        <v>0</v>
      </c>
    </row>
    <row r="66" spans="2:44" s="23" customFormat="1" ht="15" customHeight="1" x14ac:dyDescent="0.25">
      <c r="B66" s="23" t="s">
        <v>147</v>
      </c>
      <c r="C66" s="65">
        <v>-69805</v>
      </c>
      <c r="D66" s="65">
        <v>-43033</v>
      </c>
      <c r="E66" s="65">
        <v>-39303</v>
      </c>
      <c r="F66" s="65">
        <v>-18760</v>
      </c>
      <c r="G66" s="65">
        <v>-28003</v>
      </c>
      <c r="H66" s="65">
        <v>-8241</v>
      </c>
      <c r="I66" s="65">
        <v>-11939</v>
      </c>
      <c r="J66" s="65">
        <v>-12564</v>
      </c>
      <c r="K66" s="65">
        <v>-59204</v>
      </c>
      <c r="M66" s="65">
        <v>-25703</v>
      </c>
      <c r="N66" s="65">
        <v>-40570</v>
      </c>
      <c r="O66" s="65">
        <v>-54565</v>
      </c>
      <c r="P66" s="65">
        <v>-73998</v>
      </c>
      <c r="Q66" s="65"/>
      <c r="R66" s="65">
        <v>-37639</v>
      </c>
      <c r="S66" s="65">
        <v>-102462</v>
      </c>
      <c r="T66" s="65">
        <v>-1012663</v>
      </c>
      <c r="U66" s="65">
        <v>-1123540</v>
      </c>
      <c r="V66" s="65"/>
      <c r="W66" s="116">
        <v>52113</v>
      </c>
      <c r="X66" s="116">
        <v>77054</v>
      </c>
      <c r="Y66" s="116">
        <v>-86416</v>
      </c>
      <c r="Z66" s="116">
        <v>-39948</v>
      </c>
      <c r="AA66" s="65"/>
      <c r="AB66" s="116">
        <f>SUM(AB56:AB65)</f>
        <v>-115602.83538999996</v>
      </c>
      <c r="AC66" s="116">
        <f>SUM(AC56:AC65)</f>
        <v>-247690</v>
      </c>
      <c r="AD66" s="116">
        <f>SUM(AD56:AD65)</f>
        <v>-406319</v>
      </c>
      <c r="AE66" s="116">
        <f>SUM(AE56:AE65)</f>
        <v>-459799</v>
      </c>
      <c r="AF66" s="65"/>
      <c r="AG66" s="116">
        <f>SUM(AG56:AG65)</f>
        <v>-73205</v>
      </c>
      <c r="AH66" s="116">
        <f>SUM(AH56:AH65)</f>
        <v>-222993</v>
      </c>
      <c r="AI66" s="65">
        <f>SUM(AI57:AI65)</f>
        <v>-94753</v>
      </c>
      <c r="AJ66" s="116">
        <f>SUM(AJ57:AJ65)</f>
        <v>-523296</v>
      </c>
      <c r="AK66" s="116">
        <f t="shared" ref="AK66:AO66" si="0">SUM(AK57:AK65)</f>
        <v>0</v>
      </c>
      <c r="AL66" s="116">
        <f t="shared" si="0"/>
        <v>-285693</v>
      </c>
      <c r="AM66" s="116">
        <f t="shared" si="0"/>
        <v>-937173</v>
      </c>
      <c r="AN66" s="116">
        <f t="shared" si="0"/>
        <v>-1247825</v>
      </c>
      <c r="AO66" s="116">
        <f t="shared" si="0"/>
        <v>-1830795</v>
      </c>
      <c r="AP66" s="116">
        <f t="shared" ref="AP66:AR66" si="1">SUM(AP57:AP65)</f>
        <v>0</v>
      </c>
      <c r="AQ66" s="116">
        <f t="shared" si="1"/>
        <v>-247880</v>
      </c>
      <c r="AR66" s="116">
        <f t="shared" si="1"/>
        <v>-407182</v>
      </c>
    </row>
    <row r="67" spans="2:44" ht="8.1" customHeight="1" x14ac:dyDescent="0.25">
      <c r="C67" s="63"/>
      <c r="D67" s="63"/>
      <c r="E67" s="63"/>
      <c r="F67" s="63"/>
      <c r="G67" s="63"/>
      <c r="H67" s="63"/>
      <c r="I67" s="63"/>
      <c r="J67" s="63"/>
      <c r="K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116"/>
      <c r="AC67" s="63"/>
      <c r="AD67" s="63"/>
      <c r="AE67" s="63"/>
      <c r="AF67" s="63"/>
      <c r="AG67" s="63"/>
      <c r="AH67" s="63"/>
      <c r="AI67" s="63"/>
      <c r="AJ67" s="63"/>
      <c r="AK67" s="63"/>
      <c r="AL67" s="116"/>
      <c r="AM67" s="63"/>
      <c r="AN67" s="63"/>
      <c r="AO67" s="63"/>
      <c r="AP67" s="63"/>
      <c r="AQ67" s="116"/>
    </row>
    <row r="68" spans="2:44" s="23" customFormat="1" ht="15" customHeight="1" x14ac:dyDescent="0.25">
      <c r="B68" s="23" t="s">
        <v>148</v>
      </c>
      <c r="C68" s="63"/>
      <c r="D68" s="63"/>
      <c r="E68" s="63"/>
      <c r="F68" s="63"/>
      <c r="G68" s="63"/>
      <c r="H68" s="63"/>
      <c r="I68" s="63"/>
      <c r="J68" s="63"/>
      <c r="K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</row>
    <row r="69" spans="2:44" s="23" customFormat="1" ht="15" customHeight="1" x14ac:dyDescent="0.25">
      <c r="B69" s="22" t="s">
        <v>312</v>
      </c>
      <c r="C69" s="63"/>
      <c r="D69" s="63"/>
      <c r="E69" s="63"/>
      <c r="F69" s="63"/>
      <c r="G69" s="63"/>
      <c r="H69" s="63"/>
      <c r="I69" s="63"/>
      <c r="J69" s="63"/>
      <c r="K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>
        <v>0</v>
      </c>
      <c r="AJ69" s="63"/>
      <c r="AK69" s="63"/>
      <c r="AL69" s="63"/>
      <c r="AM69" s="63">
        <v>737</v>
      </c>
      <c r="AN69" s="63">
        <v>1474</v>
      </c>
      <c r="AO69" s="63">
        <v>2949</v>
      </c>
      <c r="AP69" s="63"/>
      <c r="AQ69" s="63">
        <v>-2948</v>
      </c>
      <c r="AR69" s="129">
        <v>-2948</v>
      </c>
    </row>
    <row r="70" spans="2:44" ht="15" customHeight="1" x14ac:dyDescent="0.25">
      <c r="B70" s="22" t="s">
        <v>278</v>
      </c>
      <c r="C70" s="63">
        <v>0</v>
      </c>
      <c r="D70" s="63">
        <v>0</v>
      </c>
      <c r="E70" s="63">
        <v>0</v>
      </c>
      <c r="F70" s="63">
        <v>0</v>
      </c>
      <c r="G70" s="63">
        <v>0</v>
      </c>
      <c r="H70" s="63">
        <v>2000</v>
      </c>
      <c r="I70" s="63">
        <v>2000</v>
      </c>
      <c r="J70" s="63">
        <v>0</v>
      </c>
      <c r="K70" s="63">
        <v>0</v>
      </c>
      <c r="M70" s="63">
        <v>0</v>
      </c>
      <c r="N70" s="63">
        <v>0</v>
      </c>
      <c r="O70" s="63">
        <v>0</v>
      </c>
      <c r="P70" s="63">
        <v>0</v>
      </c>
      <c r="Q70" s="63"/>
      <c r="R70" s="63">
        <v>0</v>
      </c>
      <c r="S70" s="63">
        <v>0</v>
      </c>
      <c r="T70" s="63">
        <v>1152941</v>
      </c>
      <c r="U70" s="63">
        <v>1152941</v>
      </c>
      <c r="V70" s="63"/>
      <c r="W70" s="63">
        <v>7888</v>
      </c>
      <c r="X70" s="63">
        <v>7888</v>
      </c>
      <c r="Y70" s="63">
        <v>7888</v>
      </c>
      <c r="Z70" s="63">
        <v>11330</v>
      </c>
      <c r="AA70" s="63"/>
      <c r="AB70" s="63">
        <v>4961.6000000000004</v>
      </c>
      <c r="AC70" s="63">
        <v>5864</v>
      </c>
      <c r="AD70" s="63">
        <v>6766</v>
      </c>
      <c r="AE70" s="63">
        <v>7217</v>
      </c>
      <c r="AF70" s="63"/>
      <c r="AG70" s="63">
        <v>1353</v>
      </c>
      <c r="AH70" s="63">
        <v>3157</v>
      </c>
      <c r="AI70" s="63">
        <v>4059</v>
      </c>
      <c r="AJ70" s="63">
        <v>6108</v>
      </c>
      <c r="AK70" s="63"/>
      <c r="AL70" s="63">
        <v>1122</v>
      </c>
      <c r="AM70" s="63">
        <v>3809</v>
      </c>
      <c r="AN70" s="63">
        <v>3809</v>
      </c>
      <c r="AO70" s="63">
        <v>3809</v>
      </c>
      <c r="AP70" s="63"/>
      <c r="AQ70" s="63">
        <v>6813</v>
      </c>
      <c r="AR70" s="63">
        <v>7289</v>
      </c>
    </row>
    <row r="71" spans="2:44" ht="15" customHeight="1" x14ac:dyDescent="0.25">
      <c r="B71" s="22" t="s">
        <v>149</v>
      </c>
      <c r="C71" s="63">
        <v>0</v>
      </c>
      <c r="D71" s="63">
        <v>0</v>
      </c>
      <c r="E71" s="63">
        <v>0</v>
      </c>
      <c r="F71" s="63">
        <v>0</v>
      </c>
      <c r="G71" s="63">
        <v>0</v>
      </c>
      <c r="H71" s="63">
        <v>0</v>
      </c>
      <c r="I71" s="63">
        <v>0</v>
      </c>
      <c r="J71" s="63">
        <v>0</v>
      </c>
      <c r="K71" s="63">
        <v>0</v>
      </c>
      <c r="M71" s="63">
        <v>0</v>
      </c>
      <c r="N71" s="63">
        <v>0</v>
      </c>
      <c r="O71" s="63">
        <v>0</v>
      </c>
      <c r="P71" s="63">
        <v>0</v>
      </c>
      <c r="Q71" s="63"/>
      <c r="R71" s="63">
        <v>0</v>
      </c>
      <c r="S71" s="63">
        <v>0</v>
      </c>
      <c r="T71" s="63">
        <v>-70801</v>
      </c>
      <c r="U71" s="63">
        <v>-70801</v>
      </c>
      <c r="V71" s="63"/>
      <c r="W71" s="63">
        <v>-298</v>
      </c>
      <c r="X71" s="63">
        <v>-298</v>
      </c>
      <c r="Y71" s="63">
        <v>-298</v>
      </c>
      <c r="Z71" s="63">
        <v>-298</v>
      </c>
      <c r="AA71" s="63"/>
      <c r="AB71" s="63">
        <v>0</v>
      </c>
      <c r="AC71" s="63">
        <v>0</v>
      </c>
      <c r="AD71" s="63">
        <v>0</v>
      </c>
      <c r="AE71" s="63">
        <v>0</v>
      </c>
      <c r="AF71" s="63"/>
      <c r="AG71" s="63">
        <v>0</v>
      </c>
      <c r="AH71" s="63">
        <v>0</v>
      </c>
      <c r="AI71" s="63">
        <v>0</v>
      </c>
      <c r="AJ71" s="63">
        <v>0</v>
      </c>
      <c r="AK71" s="63">
        <v>0</v>
      </c>
      <c r="AL71" s="63">
        <v>0</v>
      </c>
      <c r="AM71" s="63">
        <v>0</v>
      </c>
      <c r="AN71" s="63">
        <v>0</v>
      </c>
      <c r="AO71" s="63">
        <v>0</v>
      </c>
      <c r="AP71" s="63">
        <v>0</v>
      </c>
      <c r="AQ71" s="63">
        <v>0</v>
      </c>
      <c r="AR71" s="63">
        <v>0</v>
      </c>
    </row>
    <row r="72" spans="2:44" ht="15" customHeight="1" x14ac:dyDescent="0.25">
      <c r="B72" s="22" t="s">
        <v>257</v>
      </c>
      <c r="C72" s="63">
        <v>0</v>
      </c>
      <c r="D72" s="63">
        <v>0</v>
      </c>
      <c r="E72" s="63">
        <v>0</v>
      </c>
      <c r="F72" s="63">
        <v>0</v>
      </c>
      <c r="G72" s="63">
        <v>0</v>
      </c>
      <c r="H72" s="63">
        <v>0</v>
      </c>
      <c r="I72" s="63">
        <v>0</v>
      </c>
      <c r="J72" s="63">
        <v>0</v>
      </c>
      <c r="K72" s="63">
        <v>0</v>
      </c>
      <c r="M72" s="63">
        <v>0</v>
      </c>
      <c r="N72" s="63">
        <v>0</v>
      </c>
      <c r="O72" s="63">
        <v>0</v>
      </c>
      <c r="P72" s="63">
        <v>0</v>
      </c>
      <c r="Q72" s="63"/>
      <c r="R72" s="63">
        <v>0</v>
      </c>
      <c r="S72" s="63">
        <v>0</v>
      </c>
      <c r="T72" s="63">
        <v>0</v>
      </c>
      <c r="U72" s="63">
        <v>0</v>
      </c>
      <c r="V72" s="63"/>
      <c r="W72" s="63">
        <v>0</v>
      </c>
      <c r="X72" s="63">
        <v>0</v>
      </c>
      <c r="Y72" s="63">
        <v>0</v>
      </c>
      <c r="Z72" s="63">
        <v>0</v>
      </c>
      <c r="AA72" s="63"/>
      <c r="AB72" s="63">
        <v>0</v>
      </c>
      <c r="AC72" s="63">
        <v>-949</v>
      </c>
      <c r="AD72" s="63">
        <v>-949</v>
      </c>
      <c r="AE72" s="63">
        <v>-1474</v>
      </c>
      <c r="AF72" s="63"/>
      <c r="AG72" s="113">
        <v>-14058</v>
      </c>
      <c r="AH72" s="113">
        <v>-6052</v>
      </c>
      <c r="AI72" s="63">
        <v>308</v>
      </c>
      <c r="AJ72" s="63">
        <v>308</v>
      </c>
      <c r="AK72" s="63"/>
      <c r="AL72" s="63">
        <v>-3152</v>
      </c>
      <c r="AM72" s="63">
        <v>-1999</v>
      </c>
      <c r="AN72" s="63">
        <v>946</v>
      </c>
      <c r="AO72" s="63">
        <v>946</v>
      </c>
      <c r="AP72" s="63"/>
      <c r="AQ72" s="63">
        <v>-13182</v>
      </c>
      <c r="AR72" s="63">
        <v>-4481</v>
      </c>
    </row>
    <row r="73" spans="2:44" ht="15" customHeight="1" x14ac:dyDescent="0.25">
      <c r="B73" s="22" t="s">
        <v>150</v>
      </c>
      <c r="C73" s="63">
        <v>172543</v>
      </c>
      <c r="D73" s="63">
        <v>215927</v>
      </c>
      <c r="E73" s="63">
        <v>264203</v>
      </c>
      <c r="F73" s="63">
        <v>335186</v>
      </c>
      <c r="G73" s="63">
        <v>296920</v>
      </c>
      <c r="H73" s="63">
        <v>208797</v>
      </c>
      <c r="I73" s="63">
        <v>192287</v>
      </c>
      <c r="J73" s="63">
        <v>330140</v>
      </c>
      <c r="K73" s="63">
        <v>462254</v>
      </c>
      <c r="M73" s="63">
        <v>63730</v>
      </c>
      <c r="N73" s="63">
        <v>457796</v>
      </c>
      <c r="O73" s="63">
        <v>511315</v>
      </c>
      <c r="P73" s="63">
        <v>461221</v>
      </c>
      <c r="Q73" s="63"/>
      <c r="R73" s="63">
        <v>452910</v>
      </c>
      <c r="S73" s="63">
        <v>691374</v>
      </c>
      <c r="T73" s="63">
        <v>695249</v>
      </c>
      <c r="U73" s="63">
        <v>875548</v>
      </c>
      <c r="V73" s="63"/>
      <c r="W73" s="63">
        <v>801404</v>
      </c>
      <c r="X73" s="63">
        <v>923605</v>
      </c>
      <c r="Y73" s="63">
        <v>923605</v>
      </c>
      <c r="Z73" s="63">
        <v>923605</v>
      </c>
      <c r="AA73" s="63"/>
      <c r="AB73" s="63">
        <v>502645</v>
      </c>
      <c r="AC73" s="63">
        <v>723585</v>
      </c>
      <c r="AD73" s="63">
        <v>769223</v>
      </c>
      <c r="AE73" s="63">
        <v>1042342</v>
      </c>
      <c r="AF73" s="63"/>
      <c r="AG73" s="113">
        <v>459899</v>
      </c>
      <c r="AH73" s="113">
        <v>1183541</v>
      </c>
      <c r="AI73" s="113">
        <v>1246606</v>
      </c>
      <c r="AJ73" s="63">
        <v>1439766</v>
      </c>
      <c r="AK73" s="63"/>
      <c r="AL73" s="63">
        <v>239277</v>
      </c>
      <c r="AM73" s="113">
        <v>2551828</v>
      </c>
      <c r="AN73" s="113">
        <v>2811735</v>
      </c>
      <c r="AO73" s="63">
        <v>4111392</v>
      </c>
      <c r="AP73" s="63"/>
      <c r="AQ73" s="63">
        <v>317809</v>
      </c>
      <c r="AR73" s="63">
        <v>1675264</v>
      </c>
    </row>
    <row r="74" spans="2:44" ht="15" customHeight="1" x14ac:dyDescent="0.25">
      <c r="B74" s="22" t="s">
        <v>151</v>
      </c>
      <c r="C74" s="63">
        <v>-95704</v>
      </c>
      <c r="D74" s="63">
        <v>-129312</v>
      </c>
      <c r="E74" s="63">
        <v>-208485</v>
      </c>
      <c r="F74" s="63">
        <v>-295494</v>
      </c>
      <c r="G74" s="63">
        <v>-340246</v>
      </c>
      <c r="H74" s="63">
        <v>-303634</v>
      </c>
      <c r="I74" s="63">
        <v>-228352</v>
      </c>
      <c r="J74" s="63">
        <v>-309980</v>
      </c>
      <c r="K74" s="63">
        <v>-367039</v>
      </c>
      <c r="M74" s="63">
        <v>-40194</v>
      </c>
      <c r="N74" s="63">
        <v>-371047</v>
      </c>
      <c r="O74" s="63">
        <v>-431556</v>
      </c>
      <c r="P74" s="63">
        <v>-347816</v>
      </c>
      <c r="Q74" s="63"/>
      <c r="R74" s="63">
        <v>-149774</v>
      </c>
      <c r="S74" s="63">
        <v>-409471</v>
      </c>
      <c r="T74" s="63">
        <v>-511084</v>
      </c>
      <c r="U74" s="63">
        <v>-800867</v>
      </c>
      <c r="V74" s="63"/>
      <c r="W74" s="63">
        <v>-293664</v>
      </c>
      <c r="X74" s="63">
        <v>-352116</v>
      </c>
      <c r="Y74" s="63">
        <v>-640141</v>
      </c>
      <c r="Z74" s="63">
        <v>-691185</v>
      </c>
      <c r="AA74" s="63"/>
      <c r="AB74" s="63">
        <v>-326110.23070000001</v>
      </c>
      <c r="AC74" s="63">
        <v>-507641</v>
      </c>
      <c r="AD74" s="63">
        <v>-766480</v>
      </c>
      <c r="AE74" s="63">
        <v>-946896</v>
      </c>
      <c r="AF74" s="63"/>
      <c r="AG74" s="113">
        <v>-327217</v>
      </c>
      <c r="AH74" s="113">
        <v>-542539</v>
      </c>
      <c r="AI74" s="113">
        <v>-618319</v>
      </c>
      <c r="AJ74" s="63">
        <v>-754380</v>
      </c>
      <c r="AK74" s="63"/>
      <c r="AL74" s="63">
        <v>-99352</v>
      </c>
      <c r="AM74" s="113">
        <v>-557441</v>
      </c>
      <c r="AN74" s="113">
        <v>-875780</v>
      </c>
      <c r="AO74" s="63">
        <v>-1633569</v>
      </c>
      <c r="AP74" s="63"/>
      <c r="AQ74" s="63">
        <v>-277728</v>
      </c>
      <c r="AR74" s="63">
        <v>-1216781</v>
      </c>
    </row>
    <row r="75" spans="2:44" ht="15" customHeight="1" x14ac:dyDescent="0.25">
      <c r="B75" s="22" t="s">
        <v>243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3">
        <v>0</v>
      </c>
      <c r="I75" s="63">
        <v>0</v>
      </c>
      <c r="J75" s="63">
        <v>0</v>
      </c>
      <c r="K75" s="63">
        <v>0</v>
      </c>
      <c r="L75" s="63">
        <v>0</v>
      </c>
      <c r="M75" s="63">
        <v>0</v>
      </c>
      <c r="N75" s="63">
        <v>0</v>
      </c>
      <c r="O75" s="63">
        <v>0</v>
      </c>
      <c r="P75" s="63">
        <v>0</v>
      </c>
      <c r="Q75" s="63"/>
      <c r="R75" s="63">
        <v>0</v>
      </c>
      <c r="S75" s="63">
        <v>0</v>
      </c>
      <c r="T75" s="63">
        <v>0</v>
      </c>
      <c r="U75" s="63">
        <v>-9400</v>
      </c>
      <c r="V75" s="63"/>
      <c r="W75" s="63">
        <v>0</v>
      </c>
      <c r="X75" s="63">
        <v>0</v>
      </c>
      <c r="Y75" s="63">
        <v>0</v>
      </c>
      <c r="Z75" s="63">
        <v>-74840</v>
      </c>
      <c r="AA75" s="63"/>
      <c r="AB75" s="63">
        <v>0</v>
      </c>
      <c r="AC75" s="63">
        <v>0</v>
      </c>
      <c r="AD75" s="63">
        <v>0</v>
      </c>
      <c r="AE75" s="63">
        <v>-135891</v>
      </c>
      <c r="AF75" s="63"/>
      <c r="AG75" s="113">
        <v>-39573</v>
      </c>
      <c r="AH75" s="113">
        <v>-59137</v>
      </c>
      <c r="AI75" s="113">
        <v>-95255</v>
      </c>
      <c r="AJ75" s="63">
        <v>-162516</v>
      </c>
      <c r="AK75" s="63"/>
      <c r="AL75" s="63">
        <v>-37222</v>
      </c>
      <c r="AM75" s="113">
        <v>-114499</v>
      </c>
      <c r="AN75" s="113">
        <v>-158481</v>
      </c>
      <c r="AO75" s="63">
        <v>-288441</v>
      </c>
      <c r="AP75" s="63"/>
      <c r="AQ75" s="63">
        <v>-60341</v>
      </c>
      <c r="AR75" s="63">
        <v>-250120</v>
      </c>
    </row>
    <row r="76" spans="2:44" ht="15" customHeight="1" x14ac:dyDescent="0.25">
      <c r="B76" s="22" t="s">
        <v>152</v>
      </c>
      <c r="C76" s="63">
        <v>-1500</v>
      </c>
      <c r="D76" s="63">
        <v>0</v>
      </c>
      <c r="E76" s="63">
        <v>0</v>
      </c>
      <c r="F76" s="63">
        <v>0</v>
      </c>
      <c r="G76" s="63">
        <v>-2500</v>
      </c>
      <c r="H76" s="63">
        <v>0</v>
      </c>
      <c r="I76" s="63">
        <v>0</v>
      </c>
      <c r="J76" s="63">
        <v>-9634</v>
      </c>
      <c r="K76" s="63">
        <v>-20456</v>
      </c>
      <c r="M76" s="63">
        <v>-10450</v>
      </c>
      <c r="N76" s="63">
        <v>-12051</v>
      </c>
      <c r="O76" s="63">
        <v>-15650</v>
      </c>
      <c r="P76" s="63">
        <v>-28250</v>
      </c>
      <c r="Q76" s="63"/>
      <c r="R76" s="63">
        <v>-11800</v>
      </c>
      <c r="S76" s="63">
        <v>-25721</v>
      </c>
      <c r="T76" s="63">
        <v>-25721</v>
      </c>
      <c r="U76" s="63">
        <v>-25721</v>
      </c>
      <c r="V76" s="63"/>
      <c r="W76" s="63">
        <v>0</v>
      </c>
      <c r="X76" s="63">
        <v>-7594</v>
      </c>
      <c r="Y76" s="63">
        <v>-7595</v>
      </c>
      <c r="Z76" s="63">
        <v>-7595</v>
      </c>
      <c r="AA76" s="63"/>
      <c r="AB76" s="63">
        <v>-57238.339340000006</v>
      </c>
      <c r="AC76" s="63">
        <v>-57238</v>
      </c>
      <c r="AD76" s="63">
        <v>-57238</v>
      </c>
      <c r="AE76" s="63">
        <v>-57238</v>
      </c>
      <c r="AF76" s="63"/>
      <c r="AG76" s="113">
        <v>-58410</v>
      </c>
      <c r="AH76" s="113">
        <v>-58410</v>
      </c>
      <c r="AI76" s="113">
        <v>-58410</v>
      </c>
      <c r="AJ76" s="63">
        <v>-58411</v>
      </c>
      <c r="AK76" s="63"/>
      <c r="AL76" s="63">
        <v>-95053</v>
      </c>
      <c r="AM76" s="113">
        <v>-95059</v>
      </c>
      <c r="AN76" s="113">
        <v>-95059</v>
      </c>
      <c r="AO76" s="63">
        <v>-95059</v>
      </c>
      <c r="AP76" s="63"/>
      <c r="AQ76" s="63">
        <v>-91015</v>
      </c>
      <c r="AR76" s="63">
        <v>-91015</v>
      </c>
    </row>
    <row r="77" spans="2:44" ht="15" customHeight="1" x14ac:dyDescent="0.25">
      <c r="B77" s="22" t="s">
        <v>153</v>
      </c>
      <c r="C77" s="63">
        <v>0</v>
      </c>
      <c r="D77" s="63">
        <v>0</v>
      </c>
      <c r="E77" s="63">
        <v>0</v>
      </c>
      <c r="F77" s="63">
        <v>0</v>
      </c>
      <c r="G77" s="63">
        <v>0</v>
      </c>
      <c r="H77" s="63">
        <v>0</v>
      </c>
      <c r="I77" s="63">
        <v>0</v>
      </c>
      <c r="J77" s="63">
        <v>0</v>
      </c>
      <c r="K77" s="63">
        <v>-2736</v>
      </c>
      <c r="M77" s="63">
        <v>-607</v>
      </c>
      <c r="N77" s="63">
        <v>-1080</v>
      </c>
      <c r="O77" s="63">
        <v>-1753</v>
      </c>
      <c r="P77" s="63">
        <v>-2414</v>
      </c>
      <c r="Q77" s="63"/>
      <c r="R77" s="63">
        <v>-605</v>
      </c>
      <c r="S77" s="63">
        <v>-665</v>
      </c>
      <c r="T77" s="63">
        <v>-3987</v>
      </c>
      <c r="U77" s="63">
        <v>-4785</v>
      </c>
      <c r="V77" s="63"/>
      <c r="W77" s="63">
        <v>-857</v>
      </c>
      <c r="X77" s="63">
        <v>-3570</v>
      </c>
      <c r="Y77" s="63">
        <v>-4582</v>
      </c>
      <c r="Z77" s="63">
        <v>-6042</v>
      </c>
      <c r="AA77" s="63"/>
      <c r="AB77" s="63">
        <v>-1189.55187</v>
      </c>
      <c r="AC77" s="63">
        <v>-2782</v>
      </c>
      <c r="AD77" s="63">
        <v>-6129</v>
      </c>
      <c r="AE77" s="63">
        <v>-7597</v>
      </c>
      <c r="AF77" s="63"/>
      <c r="AG77" s="113">
        <v>-1642</v>
      </c>
      <c r="AH77" s="113">
        <v>-2068</v>
      </c>
      <c r="AI77" s="113">
        <v>-2934</v>
      </c>
      <c r="AJ77" s="63">
        <v>-5416</v>
      </c>
      <c r="AK77" s="63"/>
      <c r="AL77" s="63">
        <v>-2672</v>
      </c>
      <c r="AM77" s="113">
        <v>-6214</v>
      </c>
      <c r="AN77" s="113">
        <v>-8647</v>
      </c>
      <c r="AO77" s="63">
        <v>-10318</v>
      </c>
      <c r="AP77" s="63"/>
      <c r="AQ77" s="63">
        <v>-1910</v>
      </c>
      <c r="AR77" s="63">
        <v>-4270</v>
      </c>
    </row>
    <row r="78" spans="2:44" ht="15" customHeight="1" x14ac:dyDescent="0.25">
      <c r="B78" s="22" t="s">
        <v>343</v>
      </c>
      <c r="C78" s="63"/>
      <c r="D78" s="63"/>
      <c r="E78" s="63"/>
      <c r="F78" s="63"/>
      <c r="G78" s="63"/>
      <c r="H78" s="63"/>
      <c r="I78" s="63"/>
      <c r="J78" s="63"/>
      <c r="K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113"/>
      <c r="AH78" s="113"/>
      <c r="AI78" s="113"/>
      <c r="AJ78" s="63"/>
      <c r="AK78" s="63"/>
      <c r="AL78" s="63"/>
      <c r="AM78" s="113"/>
      <c r="AN78" s="113"/>
      <c r="AO78" s="63"/>
      <c r="AP78" s="63"/>
      <c r="AQ78" s="63">
        <v>5094</v>
      </c>
      <c r="AR78" s="129">
        <v>5094</v>
      </c>
    </row>
    <row r="79" spans="2:44" s="23" customFormat="1" ht="13.2" customHeight="1" x14ac:dyDescent="0.25">
      <c r="B79" s="23" t="s">
        <v>154</v>
      </c>
      <c r="C79" s="65">
        <v>75339</v>
      </c>
      <c r="D79" s="65">
        <v>86615</v>
      </c>
      <c r="E79" s="65">
        <v>55718</v>
      </c>
      <c r="F79" s="65">
        <v>39692</v>
      </c>
      <c r="G79" s="65">
        <v>-45826</v>
      </c>
      <c r="H79" s="65">
        <v>-92837</v>
      </c>
      <c r="I79" s="65">
        <v>-34065</v>
      </c>
      <c r="J79" s="65">
        <v>10526</v>
      </c>
      <c r="K79" s="65">
        <v>72023</v>
      </c>
      <c r="M79" s="65">
        <v>12479</v>
      </c>
      <c r="N79" s="65">
        <v>73618</v>
      </c>
      <c r="O79" s="65">
        <v>62356</v>
      </c>
      <c r="P79" s="65">
        <v>82741</v>
      </c>
      <c r="Q79" s="65"/>
      <c r="R79" s="65">
        <v>290731</v>
      </c>
      <c r="S79" s="65">
        <v>-255517</v>
      </c>
      <c r="T79" s="65">
        <v>1236597</v>
      </c>
      <c r="U79" s="65">
        <v>1116915</v>
      </c>
      <c r="V79" s="65"/>
      <c r="W79" s="116">
        <v>514473</v>
      </c>
      <c r="X79" s="116">
        <v>567915</v>
      </c>
      <c r="Y79" s="116">
        <v>278877</v>
      </c>
      <c r="Z79" s="116">
        <v>154975</v>
      </c>
      <c r="AA79" s="65"/>
      <c r="AB79" s="116">
        <f>SUM(AB70:AB77)+1</f>
        <v>123069.47808999996</v>
      </c>
      <c r="AC79" s="116">
        <f>SUM(AC70:AC77)</f>
        <v>160839</v>
      </c>
      <c r="AD79" s="116">
        <f>SUM(AD70:AD77)</f>
        <v>-54807</v>
      </c>
      <c r="AE79" s="116">
        <f>SUM(AE70:AE77)</f>
        <v>-99537</v>
      </c>
      <c r="AF79" s="65"/>
      <c r="AG79" s="116">
        <f>SUM(AG70:AG77)</f>
        <v>20352</v>
      </c>
      <c r="AH79" s="116">
        <f>SUM(AH70:AH77)</f>
        <v>518492</v>
      </c>
      <c r="AI79" s="130">
        <f>SUM(AI70:AI77)</f>
        <v>476055</v>
      </c>
      <c r="AJ79" s="116">
        <f>SUM(AJ70:AJ77)</f>
        <v>465459</v>
      </c>
      <c r="AK79" s="116">
        <f t="shared" ref="AK79" si="2">SUM(AK70:AK77)</f>
        <v>0</v>
      </c>
      <c r="AL79" s="116">
        <f>SUM(AL69:AL78)</f>
        <v>2948</v>
      </c>
      <c r="AM79" s="116">
        <f t="shared" ref="AM79:AR79" si="3">SUM(AM69:AM78)</f>
        <v>1781162</v>
      </c>
      <c r="AN79" s="116">
        <f t="shared" si="3"/>
        <v>1679997</v>
      </c>
      <c r="AO79" s="116">
        <f t="shared" si="3"/>
        <v>2091709</v>
      </c>
      <c r="AP79" s="116">
        <f t="shared" ref="AP79" si="4">SUM(AP70:AP77)</f>
        <v>0</v>
      </c>
      <c r="AQ79" s="116">
        <f t="shared" si="3"/>
        <v>-117408</v>
      </c>
      <c r="AR79" s="116">
        <f t="shared" si="3"/>
        <v>118032</v>
      </c>
    </row>
    <row r="80" spans="2:44" ht="15" customHeight="1" x14ac:dyDescent="0.25">
      <c r="B80" s="23"/>
      <c r="C80" s="18"/>
      <c r="D80" s="18"/>
      <c r="E80" s="18"/>
      <c r="F80" s="18"/>
      <c r="G80" s="18"/>
      <c r="H80" s="18"/>
      <c r="I80" s="18"/>
      <c r="J80" s="18"/>
      <c r="K80" s="18"/>
      <c r="M80" s="18"/>
      <c r="N80" s="18"/>
      <c r="O80" s="18"/>
      <c r="P80" s="18"/>
      <c r="R80" s="18"/>
      <c r="S80" s="18"/>
      <c r="T80" s="18"/>
      <c r="U80" s="18"/>
      <c r="W80" s="61"/>
      <c r="X80" s="61"/>
      <c r="Y80" s="61"/>
      <c r="Z80" s="61"/>
      <c r="AB80" s="116"/>
      <c r="AC80" s="61"/>
      <c r="AD80" s="61"/>
      <c r="AE80" s="61"/>
      <c r="AG80" s="61"/>
      <c r="AH80" s="61"/>
      <c r="AJ80" s="61"/>
      <c r="AL80" s="116"/>
      <c r="AM80" s="61"/>
      <c r="AO80" s="61"/>
      <c r="AQ80" s="116"/>
    </row>
    <row r="81" spans="2:44" s="23" customFormat="1" ht="15" customHeight="1" x14ac:dyDescent="0.25">
      <c r="B81" s="23" t="s">
        <v>155</v>
      </c>
      <c r="C81" s="65">
        <v>17318</v>
      </c>
      <c r="D81" s="65">
        <v>30206</v>
      </c>
      <c r="E81" s="65">
        <v>229</v>
      </c>
      <c r="F81" s="65">
        <v>-12405</v>
      </c>
      <c r="G81" s="65">
        <v>1730</v>
      </c>
      <c r="H81" s="65">
        <v>-1778</v>
      </c>
      <c r="I81" s="65">
        <v>-1382</v>
      </c>
      <c r="J81" s="65">
        <v>95459</v>
      </c>
      <c r="K81" s="65">
        <v>32641</v>
      </c>
      <c r="M81" s="65">
        <v>-64002</v>
      </c>
      <c r="N81" s="65">
        <v>-77631</v>
      </c>
      <c r="O81" s="65">
        <v>-39663</v>
      </c>
      <c r="P81" s="65">
        <v>88722</v>
      </c>
      <c r="Q81" s="65"/>
      <c r="R81" s="65">
        <v>294501</v>
      </c>
      <c r="S81" s="65">
        <v>-90796</v>
      </c>
      <c r="T81" s="65">
        <v>307641</v>
      </c>
      <c r="U81" s="65">
        <v>98898</v>
      </c>
      <c r="V81" s="65"/>
      <c r="W81" s="116">
        <v>368680.75351000141</v>
      </c>
      <c r="X81" s="116">
        <v>149401</v>
      </c>
      <c r="Y81" s="116">
        <v>520652</v>
      </c>
      <c r="Z81" s="116">
        <v>372724</v>
      </c>
      <c r="AA81" s="65"/>
      <c r="AB81" s="116">
        <f>AB53+AB66+AB79-1</f>
        <v>207605.08786839995</v>
      </c>
      <c r="AC81" s="116">
        <f>AC53+AC66+AC79</f>
        <v>-75536</v>
      </c>
      <c r="AD81" s="116">
        <f>AD53+AD66+AD79</f>
        <v>193295</v>
      </c>
      <c r="AE81" s="116">
        <f>AE53+AE66+AE79</f>
        <v>308429</v>
      </c>
      <c r="AF81" s="65"/>
      <c r="AG81" s="116">
        <f>AG53+AG66+AG79</f>
        <v>-93245</v>
      </c>
      <c r="AH81" s="116">
        <f>AH53+AH66+AH79</f>
        <v>420222</v>
      </c>
      <c r="AI81" s="116">
        <f>AI53+AI66+AI79</f>
        <v>606641</v>
      </c>
      <c r="AJ81" s="116">
        <f>AJ53+AJ66+AJ79</f>
        <v>668375</v>
      </c>
      <c r="AK81" s="116">
        <f t="shared" ref="AK81:AO81" si="5">AK53+AK66+AK79</f>
        <v>0</v>
      </c>
      <c r="AL81" s="116">
        <f t="shared" si="5"/>
        <v>-156983</v>
      </c>
      <c r="AM81" s="116">
        <f t="shared" si="5"/>
        <v>-10049</v>
      </c>
      <c r="AN81" s="116">
        <f>AN53+AN66+AN79</f>
        <v>426305</v>
      </c>
      <c r="AO81" s="116">
        <f t="shared" si="5"/>
        <v>863208</v>
      </c>
      <c r="AP81" s="116">
        <f t="shared" ref="AP81" si="6">AP53+AP66+AP79</f>
        <v>0</v>
      </c>
      <c r="AQ81" s="116">
        <f>AQ53+AQ66+AQ79</f>
        <v>-173369</v>
      </c>
      <c r="AR81" s="116">
        <f>AR53+AR66+AR79</f>
        <v>-1250721</v>
      </c>
    </row>
    <row r="82" spans="2:44" ht="13.2" customHeight="1" x14ac:dyDescent="0.25">
      <c r="C82" s="18"/>
      <c r="D82" s="18"/>
      <c r="E82" s="18"/>
      <c r="F82" s="18"/>
      <c r="G82" s="18"/>
      <c r="H82" s="18"/>
      <c r="I82" s="18"/>
      <c r="J82" s="18"/>
      <c r="K82" s="18"/>
      <c r="M82" s="18"/>
      <c r="N82" s="18"/>
      <c r="O82" s="18"/>
      <c r="P82" s="18"/>
      <c r="R82" s="18"/>
      <c r="S82" s="18"/>
      <c r="T82" s="18"/>
      <c r="U82" s="18"/>
      <c r="W82" s="18"/>
      <c r="X82" s="18"/>
      <c r="Y82" s="18"/>
      <c r="Z82" s="18"/>
      <c r="AB82" s="116"/>
      <c r="AC82" s="18"/>
      <c r="AD82" s="18"/>
      <c r="AE82" s="18"/>
      <c r="AG82" s="18"/>
      <c r="AH82" s="18"/>
      <c r="AI82" s="18"/>
      <c r="AJ82" s="18"/>
      <c r="AL82" s="116"/>
      <c r="AM82" s="18"/>
      <c r="AN82" s="18"/>
      <c r="AO82" s="18"/>
      <c r="AQ82" s="116"/>
    </row>
    <row r="83" spans="2:44" ht="15" customHeight="1" x14ac:dyDescent="0.25">
      <c r="B83" s="22" t="s">
        <v>156</v>
      </c>
      <c r="C83" s="63">
        <v>1952</v>
      </c>
      <c r="D83" s="63">
        <v>19270</v>
      </c>
      <c r="E83" s="63">
        <v>49476</v>
      </c>
      <c r="F83" s="63">
        <v>49705</v>
      </c>
      <c r="G83" s="63">
        <v>37300</v>
      </c>
      <c r="H83" s="63">
        <v>39030</v>
      </c>
      <c r="I83" s="63">
        <v>37252</v>
      </c>
      <c r="J83" s="63">
        <v>35870</v>
      </c>
      <c r="K83" s="63">
        <v>131329</v>
      </c>
      <c r="M83" s="63">
        <v>163970</v>
      </c>
      <c r="N83" s="63">
        <v>163970</v>
      </c>
      <c r="O83" s="63">
        <v>163970</v>
      </c>
      <c r="P83" s="63">
        <v>163970</v>
      </c>
      <c r="Q83" s="63"/>
      <c r="R83" s="63">
        <v>252692</v>
      </c>
      <c r="S83" s="63">
        <v>252692</v>
      </c>
      <c r="T83" s="63">
        <v>252692</v>
      </c>
      <c r="U83" s="63">
        <v>252692</v>
      </c>
      <c r="V83" s="63"/>
      <c r="W83" s="63">
        <v>351590.40951999999</v>
      </c>
      <c r="X83" s="63">
        <v>351590</v>
      </c>
      <c r="Y83" s="63">
        <v>351590</v>
      </c>
      <c r="Z83" s="63">
        <v>351590</v>
      </c>
      <c r="AA83" s="63"/>
      <c r="AB83" s="18">
        <v>724314</v>
      </c>
      <c r="AC83" s="63">
        <v>724314</v>
      </c>
      <c r="AD83" s="63">
        <v>724314</v>
      </c>
      <c r="AE83" s="63">
        <v>724314</v>
      </c>
      <c r="AF83" s="63"/>
      <c r="AG83" s="113">
        <v>1028483</v>
      </c>
      <c r="AH83" s="113">
        <v>1028483</v>
      </c>
      <c r="AI83" s="113">
        <v>1028483</v>
      </c>
      <c r="AJ83" s="63">
        <v>1028483</v>
      </c>
      <c r="AK83" s="63"/>
      <c r="AL83" s="18">
        <v>1696858</v>
      </c>
      <c r="AM83" s="113">
        <f>AL83</f>
        <v>1696858</v>
      </c>
      <c r="AN83" s="113">
        <v>1696858</v>
      </c>
      <c r="AO83" s="63">
        <v>1696858</v>
      </c>
      <c r="AP83" s="63"/>
      <c r="AQ83" s="18">
        <f>AO84</f>
        <v>2560066</v>
      </c>
      <c r="AR83" s="18">
        <v>2560066</v>
      </c>
    </row>
    <row r="84" spans="2:44" ht="15" customHeight="1" x14ac:dyDescent="0.25">
      <c r="B84" s="22" t="s">
        <v>157</v>
      </c>
      <c r="C84" s="63">
        <v>19270</v>
      </c>
      <c r="D84" s="63">
        <v>49476</v>
      </c>
      <c r="E84" s="63">
        <v>49705</v>
      </c>
      <c r="F84" s="63">
        <v>37300</v>
      </c>
      <c r="G84" s="63">
        <v>39030</v>
      </c>
      <c r="H84" s="63">
        <v>37252</v>
      </c>
      <c r="I84" s="63">
        <v>35870</v>
      </c>
      <c r="J84" s="63">
        <v>131329</v>
      </c>
      <c r="K84" s="63">
        <v>163970</v>
      </c>
      <c r="M84" s="63">
        <v>99968</v>
      </c>
      <c r="N84" s="63">
        <v>86339</v>
      </c>
      <c r="O84" s="63">
        <v>124307</v>
      </c>
      <c r="P84" s="63">
        <v>252692</v>
      </c>
      <c r="Q84" s="63"/>
      <c r="R84" s="63">
        <v>547193</v>
      </c>
      <c r="S84" s="63">
        <v>161896</v>
      </c>
      <c r="T84" s="63">
        <v>560333</v>
      </c>
      <c r="U84" s="63">
        <v>351590</v>
      </c>
      <c r="V84" s="63"/>
      <c r="W84" s="63">
        <v>720270.99690999999</v>
      </c>
      <c r="X84" s="63">
        <v>500991</v>
      </c>
      <c r="Y84" s="63">
        <v>872242</v>
      </c>
      <c r="Z84" s="63">
        <v>724314</v>
      </c>
      <c r="AA84" s="63"/>
      <c r="AB84" s="63">
        <v>931919.37277000002</v>
      </c>
      <c r="AC84" s="63">
        <v>646950</v>
      </c>
      <c r="AD84" s="63">
        <v>914435</v>
      </c>
      <c r="AE84" s="63">
        <v>1028483</v>
      </c>
      <c r="AF84" s="63"/>
      <c r="AG84" s="113">
        <v>935238</v>
      </c>
      <c r="AH84" s="113">
        <v>1448705</v>
      </c>
      <c r="AI84" s="113">
        <v>1635124</v>
      </c>
      <c r="AJ84" s="63">
        <v>1696858</v>
      </c>
      <c r="AK84" s="63"/>
      <c r="AL84" s="63">
        <v>1539875</v>
      </c>
      <c r="AM84" s="113">
        <f>AL83+AM81</f>
        <v>1686809</v>
      </c>
      <c r="AN84" s="113">
        <v>2123163</v>
      </c>
      <c r="AO84" s="63">
        <v>2560066</v>
      </c>
      <c r="AP84" s="63"/>
      <c r="AQ84" s="63">
        <f>AQ83+AQ81</f>
        <v>2386697</v>
      </c>
      <c r="AR84" s="63">
        <v>1309345</v>
      </c>
    </row>
    <row r="85" spans="2:44" ht="8.1" customHeight="1" x14ac:dyDescent="0.25">
      <c r="C85" s="18"/>
      <c r="D85" s="18"/>
      <c r="E85" s="18"/>
      <c r="F85" s="18"/>
      <c r="G85" s="18"/>
      <c r="H85" s="18"/>
      <c r="I85" s="18"/>
      <c r="J85" s="18"/>
      <c r="K85" s="18"/>
      <c r="M85" s="18"/>
      <c r="N85" s="18"/>
      <c r="O85" s="18"/>
      <c r="P85" s="18"/>
      <c r="R85" s="18"/>
      <c r="S85" s="18"/>
      <c r="T85" s="18"/>
      <c r="U85" s="18"/>
      <c r="W85" s="61"/>
      <c r="X85" s="61"/>
      <c r="Y85" s="61"/>
      <c r="Z85" s="61"/>
      <c r="AB85" s="63"/>
      <c r="AC85" s="61"/>
      <c r="AD85" s="61"/>
      <c r="AE85" s="61"/>
      <c r="AG85" s="63"/>
      <c r="AH85" s="61"/>
      <c r="AI85" s="61"/>
      <c r="AJ85" s="61"/>
      <c r="AL85" s="63"/>
      <c r="AM85" s="61"/>
      <c r="AN85" s="61"/>
      <c r="AO85" s="61"/>
      <c r="AQ85" s="63"/>
    </row>
    <row r="86" spans="2:44" s="23" customFormat="1" ht="15" customHeight="1" x14ac:dyDescent="0.25">
      <c r="B86" s="66" t="s">
        <v>155</v>
      </c>
      <c r="C86" s="67">
        <v>17318</v>
      </c>
      <c r="D86" s="67">
        <v>30206</v>
      </c>
      <c r="E86" s="67">
        <v>229</v>
      </c>
      <c r="F86" s="67">
        <v>-12405</v>
      </c>
      <c r="G86" s="67">
        <v>1730</v>
      </c>
      <c r="H86" s="67">
        <v>-1778</v>
      </c>
      <c r="I86" s="67">
        <v>-1382</v>
      </c>
      <c r="J86" s="67">
        <v>95459</v>
      </c>
      <c r="K86" s="67">
        <v>32641</v>
      </c>
      <c r="M86" s="67">
        <v>-64002</v>
      </c>
      <c r="N86" s="67">
        <v>-77631</v>
      </c>
      <c r="O86" s="67">
        <v>-39663</v>
      </c>
      <c r="P86" s="67">
        <v>88722</v>
      </c>
      <c r="R86" s="67">
        <v>294501</v>
      </c>
      <c r="S86" s="67">
        <v>-90796</v>
      </c>
      <c r="T86" s="67">
        <v>307641</v>
      </c>
      <c r="U86" s="67">
        <v>98898</v>
      </c>
      <c r="W86" s="117">
        <v>368680.58739</v>
      </c>
      <c r="X86" s="117">
        <v>149401</v>
      </c>
      <c r="Y86" s="117">
        <v>520652</v>
      </c>
      <c r="Z86" s="117">
        <v>372724</v>
      </c>
      <c r="AB86" s="117">
        <f>AB84-AB83</f>
        <v>207605.37277000002</v>
      </c>
      <c r="AC86" s="117">
        <f>AC84-AC83</f>
        <v>-77364</v>
      </c>
      <c r="AD86" s="117">
        <f>AD84-AD83</f>
        <v>190121</v>
      </c>
      <c r="AE86" s="117">
        <f>AE84-AE83</f>
        <v>304169</v>
      </c>
      <c r="AG86" s="117">
        <f>AG84-AG83</f>
        <v>-93245</v>
      </c>
      <c r="AH86" s="117">
        <f>AH84-AH83</f>
        <v>420222</v>
      </c>
      <c r="AI86" s="117">
        <f>AI84-AI83</f>
        <v>606641</v>
      </c>
      <c r="AJ86" s="117">
        <f>AJ84-AJ83</f>
        <v>668375</v>
      </c>
      <c r="AK86" s="117">
        <f t="shared" ref="AK86:AO86" si="7">AK84-AK83</f>
        <v>0</v>
      </c>
      <c r="AL86" s="117">
        <f t="shared" si="7"/>
        <v>-156983</v>
      </c>
      <c r="AM86" s="117">
        <f t="shared" si="7"/>
        <v>-10049</v>
      </c>
      <c r="AN86" s="117">
        <f t="shared" si="7"/>
        <v>426305</v>
      </c>
      <c r="AO86" s="117">
        <f t="shared" si="7"/>
        <v>863208</v>
      </c>
      <c r="AP86" s="117">
        <f t="shared" ref="AP86:AR86" si="8">AP84-AP83</f>
        <v>0</v>
      </c>
      <c r="AQ86" s="117">
        <f t="shared" si="8"/>
        <v>-173369</v>
      </c>
      <c r="AR86" s="117">
        <f t="shared" si="8"/>
        <v>-1250721</v>
      </c>
    </row>
    <row r="87" spans="2:44" ht="15" customHeight="1" x14ac:dyDescent="0.25">
      <c r="AN87" s="113"/>
    </row>
    <row r="98" spans="22:43" x14ac:dyDescent="0.25">
      <c r="V98" s="23"/>
      <c r="W98" s="61"/>
      <c r="X98" s="61"/>
      <c r="Y98" s="61"/>
      <c r="Z98" s="61"/>
      <c r="AA98" s="23"/>
      <c r="AB98" s="61"/>
      <c r="AC98" s="61"/>
      <c r="AD98" s="61"/>
      <c r="AE98" s="61"/>
      <c r="AF98" s="23"/>
      <c r="AG98" s="61"/>
      <c r="AH98" s="61"/>
      <c r="AI98" s="61"/>
      <c r="AJ98" s="61"/>
      <c r="AK98" s="23"/>
      <c r="AL98" s="61"/>
      <c r="AM98" s="61"/>
      <c r="AN98" s="61"/>
      <c r="AO98" s="61"/>
      <c r="AP98" s="23"/>
      <c r="AQ98" s="61"/>
    </row>
    <row r="99" spans="22:43" x14ac:dyDescent="0.25"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</row>
    <row r="100" spans="22:43" x14ac:dyDescent="0.25"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3"/>
      <c r="AQ100" s="63"/>
    </row>
    <row r="101" spans="22:43" x14ac:dyDescent="0.25"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</row>
    <row r="102" spans="22:43" x14ac:dyDescent="0.25"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  <c r="AO102" s="63"/>
      <c r="AP102" s="63"/>
      <c r="AQ102" s="63"/>
    </row>
    <row r="103" spans="22:43" x14ac:dyDescent="0.25"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  <c r="AO103" s="63"/>
      <c r="AP103" s="63"/>
      <c r="AQ103" s="63"/>
    </row>
    <row r="104" spans="22:43" x14ac:dyDescent="0.25"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  <c r="AO104" s="63"/>
      <c r="AP104" s="63"/>
      <c r="AQ104" s="63"/>
    </row>
    <row r="105" spans="22:43" x14ac:dyDescent="0.25"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</row>
    <row r="106" spans="22:43" x14ac:dyDescent="0.25">
      <c r="V106" s="63"/>
      <c r="W106" s="63"/>
      <c r="X106" s="63"/>
      <c r="Y106" s="63"/>
      <c r="Z106" s="63"/>
      <c r="AA106" s="63"/>
      <c r="AB106" s="63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63"/>
      <c r="AN106" s="63"/>
      <c r="AO106" s="63"/>
      <c r="AP106" s="63"/>
      <c r="AQ106" s="63"/>
    </row>
    <row r="107" spans="22:43" x14ac:dyDescent="0.25">
      <c r="V107" s="63"/>
      <c r="W107" s="63"/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63"/>
      <c r="AP107" s="63"/>
      <c r="AQ107" s="63"/>
    </row>
    <row r="108" spans="22:43" x14ac:dyDescent="0.25">
      <c r="V108" s="63"/>
      <c r="W108" s="63"/>
      <c r="X108" s="63"/>
      <c r="Y108" s="63"/>
      <c r="Z108" s="63"/>
      <c r="AA108" s="63"/>
      <c r="AB108" s="63"/>
      <c r="AC108" s="63"/>
      <c r="AD108" s="63"/>
      <c r="AE108" s="63"/>
      <c r="AF108" s="63"/>
      <c r="AG108" s="63"/>
      <c r="AH108" s="63"/>
      <c r="AI108" s="63"/>
      <c r="AJ108" s="63"/>
      <c r="AK108" s="63"/>
      <c r="AL108" s="63"/>
      <c r="AM108" s="63"/>
      <c r="AN108" s="63"/>
      <c r="AO108" s="63"/>
      <c r="AP108" s="63"/>
      <c r="AQ108" s="63"/>
    </row>
    <row r="109" spans="22:43" x14ac:dyDescent="0.25"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  <c r="AH109" s="63"/>
      <c r="AI109" s="63"/>
      <c r="AJ109" s="63"/>
      <c r="AK109" s="63"/>
      <c r="AL109" s="63"/>
      <c r="AM109" s="63"/>
      <c r="AN109" s="63"/>
      <c r="AO109" s="63"/>
      <c r="AP109" s="63"/>
      <c r="AQ109" s="63"/>
    </row>
    <row r="110" spans="22:43" x14ac:dyDescent="0.25"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  <c r="AI110" s="63"/>
      <c r="AJ110" s="63"/>
      <c r="AK110" s="63"/>
      <c r="AL110" s="63"/>
      <c r="AM110" s="63"/>
      <c r="AN110" s="63"/>
      <c r="AO110" s="63"/>
      <c r="AP110" s="63"/>
      <c r="AQ110" s="63"/>
    </row>
    <row r="111" spans="22:43" x14ac:dyDescent="0.25">
      <c r="V111" s="63"/>
      <c r="W111" s="63"/>
      <c r="X111" s="63"/>
      <c r="Y111" s="63"/>
      <c r="Z111" s="63"/>
      <c r="AA111" s="63"/>
      <c r="AB111" s="63"/>
      <c r="AC111" s="63"/>
      <c r="AD111" s="63"/>
      <c r="AE111" s="63"/>
      <c r="AF111" s="63"/>
      <c r="AG111" s="63"/>
      <c r="AH111" s="63"/>
      <c r="AI111" s="63"/>
      <c r="AJ111" s="63"/>
      <c r="AK111" s="63"/>
      <c r="AL111" s="63"/>
      <c r="AM111" s="63"/>
      <c r="AN111" s="63"/>
      <c r="AO111" s="63"/>
      <c r="AP111" s="63"/>
      <c r="AQ111" s="63"/>
    </row>
    <row r="112" spans="22:43" x14ac:dyDescent="0.25">
      <c r="V112" s="63"/>
      <c r="W112" s="63"/>
      <c r="X112" s="63"/>
      <c r="Y112" s="63"/>
      <c r="Z112" s="63"/>
      <c r="AA112" s="63"/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  <c r="AO112" s="63"/>
      <c r="AP112" s="63"/>
      <c r="AQ112" s="63"/>
    </row>
    <row r="113" spans="22:43" x14ac:dyDescent="0.25">
      <c r="W113" s="18"/>
      <c r="X113" s="18"/>
      <c r="Y113" s="18"/>
      <c r="Z113" s="18"/>
      <c r="AB113" s="18"/>
      <c r="AC113" s="18"/>
      <c r="AD113" s="18"/>
      <c r="AE113" s="18"/>
      <c r="AG113" s="18"/>
      <c r="AH113" s="18"/>
      <c r="AI113" s="18"/>
      <c r="AJ113" s="18"/>
      <c r="AL113" s="18"/>
      <c r="AM113" s="18"/>
      <c r="AN113" s="18"/>
      <c r="AO113" s="18"/>
      <c r="AQ113" s="18"/>
    </row>
    <row r="114" spans="22:43" x14ac:dyDescent="0.25">
      <c r="V114" s="23"/>
      <c r="W114" s="61"/>
      <c r="X114" s="61"/>
      <c r="Y114" s="61"/>
      <c r="Z114" s="61"/>
      <c r="AA114" s="23"/>
      <c r="AB114" s="61"/>
      <c r="AC114" s="61"/>
      <c r="AD114" s="61"/>
      <c r="AE114" s="61"/>
      <c r="AF114" s="23"/>
      <c r="AG114" s="61"/>
      <c r="AH114" s="61"/>
      <c r="AI114" s="61"/>
      <c r="AJ114" s="61"/>
      <c r="AK114" s="23"/>
      <c r="AL114" s="61"/>
      <c r="AM114" s="61"/>
      <c r="AN114" s="61"/>
      <c r="AO114" s="61"/>
      <c r="AP114" s="23"/>
      <c r="AQ114" s="61"/>
    </row>
    <row r="115" spans="22:43" x14ac:dyDescent="0.25">
      <c r="V115" s="63"/>
      <c r="W115" s="63"/>
      <c r="X115" s="63"/>
      <c r="Y115" s="63"/>
      <c r="Z115" s="63"/>
      <c r="AA115" s="63"/>
      <c r="AB115" s="63"/>
      <c r="AC115" s="63"/>
      <c r="AD115" s="63"/>
      <c r="AE115" s="63"/>
      <c r="AF115" s="63"/>
      <c r="AG115" s="63"/>
      <c r="AH115" s="63"/>
      <c r="AI115" s="63"/>
      <c r="AJ115" s="63"/>
      <c r="AK115" s="63"/>
      <c r="AL115" s="63"/>
      <c r="AM115" s="63"/>
      <c r="AN115" s="63"/>
      <c r="AO115" s="63"/>
      <c r="AP115" s="63"/>
      <c r="AQ115" s="63"/>
    </row>
    <row r="116" spans="22:43" x14ac:dyDescent="0.25">
      <c r="V116" s="63"/>
      <c r="W116" s="63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63"/>
      <c r="AJ116" s="63"/>
      <c r="AK116" s="63"/>
      <c r="AL116" s="63"/>
      <c r="AM116" s="63"/>
      <c r="AN116" s="63"/>
      <c r="AO116" s="63"/>
      <c r="AP116" s="63"/>
      <c r="AQ116" s="63"/>
    </row>
    <row r="117" spans="22:43" x14ac:dyDescent="0.25">
      <c r="V117" s="63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  <c r="AO117" s="63"/>
      <c r="AP117" s="63"/>
      <c r="AQ117" s="63"/>
    </row>
    <row r="118" spans="22:43" x14ac:dyDescent="0.25">
      <c r="V118" s="63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  <c r="AO118" s="63"/>
      <c r="AP118" s="63"/>
      <c r="AQ118" s="63"/>
    </row>
    <row r="119" spans="22:43" x14ac:dyDescent="0.25">
      <c r="V119" s="63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63"/>
      <c r="AJ119" s="63"/>
      <c r="AK119" s="63"/>
      <c r="AL119" s="63"/>
      <c r="AM119" s="63"/>
      <c r="AN119" s="63"/>
      <c r="AO119" s="63"/>
      <c r="AP119" s="63"/>
      <c r="AQ119" s="63"/>
    </row>
    <row r="120" spans="22:43" x14ac:dyDescent="0.25">
      <c r="V120" s="63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  <c r="AI120" s="63"/>
      <c r="AJ120" s="63"/>
      <c r="AK120" s="63"/>
      <c r="AL120" s="63"/>
      <c r="AM120" s="63"/>
      <c r="AN120" s="63"/>
      <c r="AO120" s="63"/>
      <c r="AP120" s="63"/>
      <c r="AQ120" s="63"/>
    </row>
    <row r="121" spans="22:43" x14ac:dyDescent="0.25">
      <c r="V121" s="63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  <c r="AO121" s="63"/>
      <c r="AP121" s="63"/>
      <c r="AQ121" s="63"/>
    </row>
    <row r="122" spans="22:43" x14ac:dyDescent="0.25"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  <c r="AO122" s="63"/>
      <c r="AP122" s="63"/>
      <c r="AQ122" s="63"/>
    </row>
    <row r="123" spans="22:43" x14ac:dyDescent="0.25"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  <c r="AO123" s="63"/>
      <c r="AP123" s="63"/>
      <c r="AQ123" s="63"/>
    </row>
    <row r="124" spans="22:43" x14ac:dyDescent="0.25">
      <c r="V124" s="63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  <c r="AO124" s="63"/>
      <c r="AP124" s="63"/>
      <c r="AQ124" s="63"/>
    </row>
    <row r="125" spans="22:43" x14ac:dyDescent="0.25"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  <c r="AO125" s="63"/>
      <c r="AP125" s="63"/>
      <c r="AQ125" s="63"/>
    </row>
    <row r="126" spans="22:43" x14ac:dyDescent="0.25"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3"/>
      <c r="AP126" s="63"/>
      <c r="AQ126" s="63"/>
    </row>
    <row r="127" spans="22:43" x14ac:dyDescent="0.25"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</row>
    <row r="128" spans="22:43" x14ac:dyDescent="0.25"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3"/>
      <c r="AP128" s="63"/>
      <c r="AQ128" s="63"/>
    </row>
    <row r="129" spans="22:43" x14ac:dyDescent="0.25"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3"/>
      <c r="AP129" s="63"/>
      <c r="AQ129" s="63"/>
    </row>
    <row r="130" spans="22:43" x14ac:dyDescent="0.25">
      <c r="V130" s="63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63"/>
      <c r="AJ130" s="63"/>
      <c r="AK130" s="63"/>
      <c r="AL130" s="63"/>
      <c r="AM130" s="63"/>
      <c r="AN130" s="63"/>
      <c r="AO130" s="63"/>
      <c r="AP130" s="63"/>
      <c r="AQ130" s="63"/>
    </row>
    <row r="131" spans="22:43" x14ac:dyDescent="0.25">
      <c r="V131" s="63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63"/>
      <c r="AJ131" s="63"/>
      <c r="AK131" s="63"/>
      <c r="AL131" s="63"/>
      <c r="AM131" s="63"/>
      <c r="AN131" s="63"/>
      <c r="AO131" s="63"/>
      <c r="AP131" s="63"/>
      <c r="AQ131" s="63"/>
    </row>
    <row r="132" spans="22:43" x14ac:dyDescent="0.25">
      <c r="V132" s="63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63"/>
      <c r="AJ132" s="63"/>
      <c r="AK132" s="63"/>
      <c r="AL132" s="63"/>
      <c r="AM132" s="63"/>
      <c r="AN132" s="63"/>
      <c r="AO132" s="63"/>
      <c r="AP132" s="63"/>
      <c r="AQ132" s="63"/>
    </row>
    <row r="133" spans="22:43" x14ac:dyDescent="0.25">
      <c r="V133" s="63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63"/>
      <c r="AJ133" s="63"/>
      <c r="AK133" s="63"/>
      <c r="AL133" s="63"/>
      <c r="AM133" s="63"/>
      <c r="AN133" s="63"/>
      <c r="AO133" s="63"/>
      <c r="AP133" s="63"/>
      <c r="AQ133" s="63"/>
    </row>
    <row r="134" spans="22:43" x14ac:dyDescent="0.25">
      <c r="V134" s="63"/>
      <c r="W134" s="63"/>
      <c r="X134" s="63"/>
      <c r="Y134" s="63"/>
      <c r="Z134" s="63"/>
      <c r="AA134" s="63"/>
      <c r="AB134" s="63"/>
      <c r="AC134" s="63"/>
      <c r="AD134" s="63"/>
      <c r="AE134" s="63"/>
      <c r="AF134" s="63"/>
      <c r="AG134" s="63"/>
      <c r="AH134" s="63"/>
      <c r="AI134" s="63"/>
      <c r="AJ134" s="63"/>
      <c r="AK134" s="63"/>
      <c r="AL134" s="63"/>
      <c r="AM134" s="63"/>
      <c r="AN134" s="63"/>
      <c r="AO134" s="63"/>
      <c r="AP134" s="63"/>
      <c r="AQ134" s="63"/>
    </row>
    <row r="135" spans="22:43" x14ac:dyDescent="0.25">
      <c r="V135" s="65"/>
      <c r="W135" s="65"/>
      <c r="X135" s="65"/>
      <c r="Y135" s="65"/>
      <c r="Z135" s="65"/>
      <c r="AA135" s="65"/>
      <c r="AB135" s="65"/>
      <c r="AC135" s="65"/>
      <c r="AD135" s="65"/>
      <c r="AE135" s="65"/>
      <c r="AF135" s="65"/>
      <c r="AG135" s="65"/>
      <c r="AH135" s="65"/>
      <c r="AI135" s="65"/>
      <c r="AJ135" s="65"/>
      <c r="AK135" s="65"/>
      <c r="AL135" s="65"/>
      <c r="AM135" s="65"/>
      <c r="AN135" s="65"/>
      <c r="AO135" s="65"/>
      <c r="AP135" s="65"/>
      <c r="AQ135" s="65"/>
    </row>
    <row r="136" spans="22:43" x14ac:dyDescent="0.25">
      <c r="W136" s="18"/>
      <c r="X136" s="18"/>
      <c r="Y136" s="18"/>
      <c r="Z136" s="18"/>
      <c r="AB136" s="18"/>
      <c r="AC136" s="18"/>
      <c r="AD136" s="18"/>
      <c r="AE136" s="18"/>
      <c r="AG136" s="18"/>
      <c r="AH136" s="18"/>
      <c r="AI136" s="18"/>
      <c r="AJ136" s="18"/>
      <c r="AL136" s="18"/>
      <c r="AM136" s="18"/>
      <c r="AN136" s="18"/>
      <c r="AO136" s="18"/>
      <c r="AQ136" s="18"/>
    </row>
    <row r="137" spans="22:43" x14ac:dyDescent="0.25">
      <c r="V137" s="23"/>
      <c r="W137" s="61"/>
      <c r="X137" s="61"/>
      <c r="Y137" s="61"/>
      <c r="Z137" s="61"/>
      <c r="AA137" s="23"/>
      <c r="AB137" s="61"/>
      <c r="AC137" s="61"/>
      <c r="AD137" s="61"/>
      <c r="AE137" s="61"/>
      <c r="AF137" s="23"/>
      <c r="AG137" s="61"/>
      <c r="AH137" s="61"/>
      <c r="AI137" s="61"/>
      <c r="AJ137" s="61"/>
      <c r="AK137" s="23"/>
      <c r="AL137" s="61"/>
      <c r="AM137" s="61"/>
      <c r="AN137" s="61"/>
      <c r="AO137" s="61"/>
      <c r="AP137" s="23"/>
      <c r="AQ137" s="61"/>
    </row>
    <row r="138" spans="22:43" x14ac:dyDescent="0.25">
      <c r="V138" s="63"/>
      <c r="W138" s="63"/>
      <c r="X138" s="63"/>
      <c r="Y138" s="63"/>
      <c r="Z138" s="63"/>
      <c r="AA138" s="63"/>
      <c r="AB138" s="63"/>
      <c r="AC138" s="63"/>
      <c r="AD138" s="63"/>
      <c r="AE138" s="63"/>
      <c r="AF138" s="63"/>
      <c r="AG138" s="63"/>
      <c r="AH138" s="63"/>
      <c r="AI138" s="63"/>
      <c r="AJ138" s="63"/>
      <c r="AK138" s="63"/>
      <c r="AL138" s="63"/>
      <c r="AM138" s="63"/>
      <c r="AN138" s="63"/>
      <c r="AO138" s="63"/>
      <c r="AP138" s="63"/>
      <c r="AQ138" s="63"/>
    </row>
    <row r="139" spans="22:43" x14ac:dyDescent="0.25">
      <c r="V139" s="63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63"/>
      <c r="AJ139" s="63"/>
      <c r="AK139" s="63"/>
      <c r="AL139" s="63"/>
      <c r="AM139" s="63"/>
      <c r="AN139" s="63"/>
      <c r="AO139" s="63"/>
      <c r="AP139" s="63"/>
      <c r="AQ139" s="63"/>
    </row>
    <row r="140" spans="22:43" x14ac:dyDescent="0.25">
      <c r="V140" s="63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63"/>
      <c r="AJ140" s="63"/>
      <c r="AK140" s="63"/>
      <c r="AL140" s="63"/>
      <c r="AM140" s="63"/>
      <c r="AN140" s="63"/>
      <c r="AO140" s="63"/>
      <c r="AP140" s="63"/>
      <c r="AQ140" s="63"/>
    </row>
    <row r="141" spans="22:43" x14ac:dyDescent="0.25">
      <c r="V141" s="63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63"/>
      <c r="AJ141" s="63"/>
      <c r="AK141" s="63"/>
      <c r="AL141" s="63"/>
      <c r="AM141" s="63"/>
      <c r="AN141" s="63"/>
      <c r="AO141" s="63"/>
      <c r="AP141" s="63"/>
      <c r="AQ141" s="63"/>
    </row>
    <row r="142" spans="22:43" x14ac:dyDescent="0.25">
      <c r="V142" s="63"/>
      <c r="W142" s="63"/>
      <c r="X142" s="63"/>
      <c r="Y142" s="63"/>
      <c r="Z142" s="63"/>
      <c r="AA142" s="63"/>
      <c r="AB142" s="63"/>
      <c r="AC142" s="63"/>
      <c r="AD142" s="63"/>
      <c r="AE142" s="63"/>
      <c r="AF142" s="63"/>
      <c r="AG142" s="63"/>
      <c r="AH142" s="63"/>
      <c r="AI142" s="63"/>
      <c r="AJ142" s="63"/>
      <c r="AK142" s="63"/>
      <c r="AL142" s="63"/>
      <c r="AM142" s="63"/>
      <c r="AN142" s="63"/>
      <c r="AO142" s="63"/>
      <c r="AP142" s="63"/>
      <c r="AQ142" s="63"/>
    </row>
    <row r="143" spans="22:43" x14ac:dyDescent="0.25">
      <c r="V143" s="65"/>
      <c r="W143" s="65"/>
      <c r="X143" s="65"/>
      <c r="Y143" s="65"/>
      <c r="Z143" s="65"/>
      <c r="AA143" s="65"/>
      <c r="AB143" s="65"/>
      <c r="AC143" s="65"/>
      <c r="AD143" s="65"/>
      <c r="AE143" s="65"/>
      <c r="AF143" s="65"/>
      <c r="AG143" s="65"/>
      <c r="AH143" s="65"/>
      <c r="AI143" s="65"/>
      <c r="AJ143" s="65"/>
      <c r="AK143" s="65"/>
      <c r="AL143" s="65"/>
      <c r="AM143" s="65"/>
      <c r="AN143" s="65"/>
      <c r="AO143" s="65"/>
      <c r="AP143" s="65"/>
      <c r="AQ143" s="65"/>
    </row>
    <row r="144" spans="22:43" x14ac:dyDescent="0.25">
      <c r="V144" s="63"/>
      <c r="W144" s="63"/>
      <c r="X144" s="63"/>
      <c r="Y144" s="63"/>
      <c r="Z144" s="63"/>
      <c r="AA144" s="63"/>
      <c r="AB144" s="63"/>
      <c r="AC144" s="63"/>
      <c r="AD144" s="63"/>
      <c r="AE144" s="63"/>
      <c r="AF144" s="63"/>
      <c r="AG144" s="63"/>
      <c r="AH144" s="63"/>
      <c r="AI144" s="63"/>
      <c r="AJ144" s="63"/>
      <c r="AK144" s="63"/>
      <c r="AL144" s="63"/>
      <c r="AM144" s="63"/>
      <c r="AN144" s="63"/>
      <c r="AO144" s="63"/>
      <c r="AP144" s="63"/>
      <c r="AQ144" s="63"/>
    </row>
    <row r="145" spans="22:43" x14ac:dyDescent="0.25">
      <c r="V145" s="63"/>
      <c r="W145" s="63"/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  <c r="AO145" s="63"/>
      <c r="AP145" s="63"/>
      <c r="AQ145" s="63"/>
    </row>
    <row r="146" spans="22:43" x14ac:dyDescent="0.25">
      <c r="V146" s="63"/>
      <c r="W146" s="63"/>
      <c r="X146" s="63"/>
      <c r="Y146" s="63"/>
      <c r="Z146" s="63"/>
      <c r="AA146" s="63"/>
      <c r="AB146" s="63"/>
      <c r="AC146" s="63"/>
      <c r="AD146" s="63"/>
      <c r="AE146" s="63"/>
      <c r="AF146" s="63"/>
      <c r="AG146" s="63"/>
      <c r="AH146" s="63"/>
      <c r="AI146" s="63"/>
      <c r="AJ146" s="63"/>
      <c r="AK146" s="63"/>
      <c r="AL146" s="63"/>
      <c r="AM146" s="63"/>
      <c r="AN146" s="63"/>
      <c r="AO146" s="63"/>
      <c r="AP146" s="63"/>
      <c r="AQ146" s="63"/>
    </row>
    <row r="147" spans="22:43" x14ac:dyDescent="0.25">
      <c r="V147" s="63"/>
      <c r="W147" s="63"/>
      <c r="X147" s="63"/>
      <c r="Y147" s="63"/>
      <c r="Z147" s="63"/>
      <c r="AA147" s="63"/>
      <c r="AB147" s="63"/>
      <c r="AC147" s="63"/>
      <c r="AD147" s="63"/>
      <c r="AE147" s="63"/>
      <c r="AF147" s="63"/>
      <c r="AG147" s="63"/>
      <c r="AH147" s="63"/>
      <c r="AI147" s="63"/>
      <c r="AJ147" s="63"/>
      <c r="AK147" s="63"/>
      <c r="AL147" s="63"/>
      <c r="AM147" s="63"/>
      <c r="AN147" s="63"/>
      <c r="AO147" s="63"/>
      <c r="AP147" s="63"/>
      <c r="AQ147" s="63"/>
    </row>
    <row r="148" spans="22:43" x14ac:dyDescent="0.25">
      <c r="V148" s="63"/>
      <c r="W148" s="63"/>
      <c r="X148" s="63"/>
      <c r="Y148" s="63"/>
      <c r="Z148" s="63"/>
      <c r="AA148" s="63"/>
      <c r="AB148" s="63"/>
      <c r="AC148" s="63"/>
      <c r="AD148" s="63"/>
      <c r="AE148" s="63"/>
      <c r="AF148" s="63"/>
      <c r="AG148" s="63"/>
      <c r="AH148" s="63"/>
      <c r="AI148" s="63"/>
      <c r="AJ148" s="63"/>
      <c r="AK148" s="63"/>
      <c r="AL148" s="63"/>
      <c r="AM148" s="63"/>
      <c r="AN148" s="63"/>
      <c r="AO148" s="63"/>
      <c r="AP148" s="63"/>
      <c r="AQ148" s="63"/>
    </row>
    <row r="149" spans="22:43" x14ac:dyDescent="0.25">
      <c r="V149" s="63"/>
      <c r="W149" s="63"/>
      <c r="X149" s="63"/>
      <c r="Y149" s="63"/>
      <c r="Z149" s="63"/>
      <c r="AA149" s="63"/>
      <c r="AB149" s="63"/>
      <c r="AC149" s="63"/>
      <c r="AD149" s="63"/>
      <c r="AE149" s="63"/>
      <c r="AF149" s="63"/>
      <c r="AG149" s="63"/>
      <c r="AH149" s="63"/>
      <c r="AI149" s="63"/>
      <c r="AJ149" s="63"/>
      <c r="AK149" s="63"/>
      <c r="AL149" s="63"/>
      <c r="AM149" s="63"/>
      <c r="AN149" s="63"/>
      <c r="AO149" s="63"/>
      <c r="AP149" s="63"/>
      <c r="AQ149" s="63"/>
    </row>
    <row r="150" spans="22:43" x14ac:dyDescent="0.25">
      <c r="V150" s="63"/>
      <c r="W150" s="63"/>
      <c r="X150" s="63"/>
      <c r="Y150" s="63"/>
      <c r="Z150" s="63"/>
      <c r="AA150" s="63"/>
      <c r="AB150" s="63"/>
      <c r="AC150" s="63"/>
      <c r="AD150" s="63"/>
      <c r="AE150" s="63"/>
      <c r="AF150" s="63"/>
      <c r="AG150" s="63"/>
      <c r="AH150" s="63"/>
      <c r="AI150" s="63"/>
      <c r="AJ150" s="63"/>
      <c r="AK150" s="63"/>
      <c r="AL150" s="63"/>
      <c r="AM150" s="63"/>
      <c r="AN150" s="63"/>
      <c r="AO150" s="63"/>
      <c r="AP150" s="63"/>
      <c r="AQ150" s="63"/>
    </row>
    <row r="151" spans="22:43" x14ac:dyDescent="0.25"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3"/>
      <c r="AQ151" s="63"/>
    </row>
    <row r="152" spans="22:43" x14ac:dyDescent="0.25">
      <c r="V152" s="65"/>
      <c r="W152" s="65"/>
      <c r="X152" s="65"/>
      <c r="Y152" s="65"/>
      <c r="Z152" s="65"/>
      <c r="AA152" s="65"/>
      <c r="AB152" s="65"/>
      <c r="AC152" s="65"/>
      <c r="AD152" s="65"/>
      <c r="AE152" s="65"/>
      <c r="AF152" s="65"/>
      <c r="AG152" s="65"/>
      <c r="AH152" s="65"/>
      <c r="AI152" s="65"/>
      <c r="AJ152" s="65"/>
      <c r="AK152" s="65"/>
      <c r="AL152" s="65"/>
      <c r="AM152" s="65"/>
      <c r="AN152" s="65"/>
      <c r="AO152" s="65"/>
      <c r="AP152" s="65"/>
      <c r="AQ152" s="65"/>
    </row>
    <row r="153" spans="22:43" x14ac:dyDescent="0.25">
      <c r="W153" s="61"/>
      <c r="X153" s="61"/>
      <c r="Y153" s="61"/>
      <c r="Z153" s="61"/>
      <c r="AB153" s="61"/>
      <c r="AC153" s="61"/>
      <c r="AD153" s="61"/>
      <c r="AE153" s="61"/>
      <c r="AG153" s="61"/>
      <c r="AH153" s="61"/>
      <c r="AI153" s="61"/>
      <c r="AJ153" s="61"/>
      <c r="AL153" s="61"/>
      <c r="AM153" s="61"/>
      <c r="AN153" s="61"/>
      <c r="AO153" s="61"/>
      <c r="AQ153" s="61"/>
    </row>
    <row r="154" spans="22:43" x14ac:dyDescent="0.25">
      <c r="V154" s="65"/>
      <c r="W154" s="65"/>
      <c r="X154" s="65"/>
      <c r="Y154" s="65"/>
      <c r="Z154" s="65"/>
      <c r="AA154" s="65"/>
      <c r="AB154" s="65"/>
      <c r="AC154" s="65"/>
      <c r="AD154" s="65"/>
      <c r="AE154" s="65"/>
      <c r="AF154" s="65"/>
      <c r="AG154" s="65"/>
      <c r="AH154" s="65"/>
      <c r="AI154" s="65"/>
      <c r="AJ154" s="65"/>
      <c r="AK154" s="65"/>
      <c r="AL154" s="65"/>
      <c r="AM154" s="65"/>
      <c r="AN154" s="65"/>
      <c r="AO154" s="65"/>
      <c r="AP154" s="65"/>
      <c r="AQ154" s="65"/>
    </row>
    <row r="155" spans="22:43" x14ac:dyDescent="0.25">
      <c r="W155" s="18"/>
      <c r="X155" s="18"/>
      <c r="Y155" s="18"/>
      <c r="Z155" s="18"/>
      <c r="AB155" s="18"/>
      <c r="AC155" s="18"/>
      <c r="AD155" s="18"/>
      <c r="AE155" s="18"/>
      <c r="AG155" s="18"/>
      <c r="AH155" s="18"/>
      <c r="AI155" s="18"/>
      <c r="AJ155" s="18"/>
      <c r="AL155" s="18"/>
      <c r="AM155" s="18"/>
      <c r="AN155" s="18"/>
      <c r="AO155" s="18"/>
      <c r="AQ155" s="18"/>
    </row>
    <row r="156" spans="22:43" x14ac:dyDescent="0.25">
      <c r="V156" s="63"/>
      <c r="W156" s="63"/>
      <c r="X156" s="63"/>
      <c r="Y156" s="63"/>
      <c r="Z156" s="63"/>
      <c r="AA156" s="63"/>
      <c r="AB156" s="63"/>
      <c r="AC156" s="63"/>
      <c r="AD156" s="63"/>
      <c r="AE156" s="63"/>
      <c r="AF156" s="63"/>
      <c r="AG156" s="63"/>
      <c r="AH156" s="63"/>
      <c r="AI156" s="63"/>
      <c r="AJ156" s="63"/>
      <c r="AK156" s="63"/>
      <c r="AL156" s="63"/>
      <c r="AM156" s="63"/>
      <c r="AN156" s="63"/>
      <c r="AO156" s="63"/>
      <c r="AP156" s="63"/>
      <c r="AQ156" s="63"/>
    </row>
    <row r="157" spans="22:43" x14ac:dyDescent="0.25">
      <c r="V157" s="63"/>
      <c r="W157" s="63"/>
      <c r="X157" s="63"/>
      <c r="Y157" s="63"/>
      <c r="Z157" s="63"/>
      <c r="AA157" s="63"/>
      <c r="AB157" s="63"/>
      <c r="AC157" s="63"/>
      <c r="AD157" s="63"/>
      <c r="AE157" s="63"/>
      <c r="AF157" s="63"/>
      <c r="AG157" s="63"/>
      <c r="AH157" s="63"/>
      <c r="AI157" s="63"/>
      <c r="AJ157" s="63"/>
      <c r="AK157" s="63"/>
      <c r="AL157" s="63"/>
      <c r="AM157" s="63"/>
      <c r="AN157" s="63"/>
      <c r="AO157" s="63"/>
      <c r="AP157" s="63"/>
      <c r="AQ157" s="63"/>
    </row>
    <row r="158" spans="22:43" x14ac:dyDescent="0.25">
      <c r="W158" s="61"/>
      <c r="X158" s="61"/>
      <c r="Y158" s="61"/>
      <c r="Z158" s="61"/>
      <c r="AB158" s="61"/>
      <c r="AC158" s="61"/>
      <c r="AD158" s="61"/>
      <c r="AE158" s="61"/>
      <c r="AG158" s="61"/>
      <c r="AH158" s="61"/>
      <c r="AI158" s="61"/>
      <c r="AJ158" s="61"/>
      <c r="AL158" s="61"/>
      <c r="AM158" s="61"/>
      <c r="AN158" s="61"/>
      <c r="AO158" s="61"/>
      <c r="AQ158" s="61"/>
    </row>
    <row r="159" spans="22:43" x14ac:dyDescent="0.25">
      <c r="V159" s="67"/>
      <c r="W159" s="67"/>
      <c r="X159" s="67"/>
      <c r="Y159" s="67"/>
      <c r="Z159" s="67"/>
      <c r="AA159" s="67"/>
      <c r="AB159" s="67"/>
      <c r="AC159" s="67"/>
      <c r="AD159" s="67"/>
      <c r="AE159" s="67"/>
      <c r="AF159" s="67"/>
      <c r="AG159" s="67"/>
      <c r="AH159" s="67"/>
      <c r="AI159" s="67"/>
      <c r="AJ159" s="67"/>
      <c r="AK159" s="67"/>
      <c r="AL159" s="67"/>
      <c r="AM159" s="67"/>
      <c r="AN159" s="67"/>
      <c r="AO159" s="67"/>
      <c r="AP159" s="67"/>
      <c r="AQ159" s="67"/>
    </row>
  </sheetData>
  <phoneticPr fontId="21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66383-561B-4A34-B78B-F4808FE7D439}">
  <sheetPr>
    <tabColor theme="9" tint="0.39997558519241921"/>
  </sheetPr>
  <dimension ref="A1:BS206"/>
  <sheetViews>
    <sheetView showGridLines="0" zoomScaleNormal="100" workbookViewId="0">
      <pane xSplit="1" ySplit="2" topLeftCell="AV18" activePane="bottomRight" state="frozen"/>
      <selection activeCell="D13" sqref="D13"/>
      <selection pane="topRight" activeCell="D13" sqref="D13"/>
      <selection pane="bottomLeft" activeCell="D13" sqref="D13"/>
      <selection pane="bottomRight" activeCell="BR52" sqref="BR52"/>
    </sheetView>
  </sheetViews>
  <sheetFormatPr defaultColWidth="9.109375" defaultRowHeight="13.2" x14ac:dyDescent="0.25"/>
  <cols>
    <col min="1" max="1" width="38.109375" style="22" customWidth="1"/>
    <col min="2" max="13" width="9.6640625" style="22" customWidth="1"/>
    <col min="14" max="14" width="10.44140625" style="22" bestFit="1" customWidth="1"/>
    <col min="15" max="16" width="9.6640625" style="22" customWidth="1"/>
    <col min="17" max="17" width="3.6640625" style="22" customWidth="1" collapsed="1"/>
    <col min="18" max="25" width="9.6640625" style="22" customWidth="1"/>
    <col min="26" max="26" width="3.6640625" style="22" customWidth="1" collapsed="1"/>
    <col min="27" max="35" width="9.6640625" style="22" customWidth="1"/>
    <col min="36" max="36" width="3.6640625" style="22" customWidth="1"/>
    <col min="37" max="37" width="8.44140625" style="22" customWidth="1"/>
    <col min="38" max="38" width="6.88671875" style="22" customWidth="1"/>
    <col min="39" max="41" width="8.44140625" style="22" customWidth="1"/>
    <col min="42" max="42" width="6.88671875" style="22" customWidth="1"/>
    <col min="43" max="60" width="8.44140625" style="22" customWidth="1"/>
    <col min="61" max="62" width="9.44140625" style="22" customWidth="1"/>
    <col min="63" max="65" width="9.5546875" style="22" customWidth="1"/>
    <col min="66" max="66" width="10.21875" style="22" customWidth="1"/>
    <col min="67" max="67" width="9.88671875" style="22" customWidth="1"/>
    <col min="68" max="68" width="10.109375" style="22" customWidth="1"/>
    <col min="69" max="69" width="10.109375" style="22" bestFit="1" customWidth="1"/>
    <col min="70" max="70" width="9.5546875" style="22" customWidth="1"/>
    <col min="71" max="16384" width="9.109375" style="22"/>
  </cols>
  <sheetData>
    <row r="1" spans="1:70" x14ac:dyDescent="0.25">
      <c r="A1" s="68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R1" s="69"/>
      <c r="S1" s="69"/>
      <c r="T1" s="69"/>
      <c r="U1" s="69"/>
      <c r="V1" s="69"/>
      <c r="W1" s="69"/>
      <c r="X1" s="69"/>
      <c r="Y1" s="69"/>
      <c r="AA1" s="69"/>
      <c r="AB1" s="69"/>
      <c r="AC1" s="69"/>
      <c r="AD1" s="69"/>
      <c r="AE1" s="69"/>
      <c r="AF1" s="69"/>
      <c r="AG1" s="69"/>
      <c r="AH1" s="69"/>
      <c r="AI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166"/>
    </row>
    <row r="2" spans="1:70" x14ac:dyDescent="0.25">
      <c r="A2" s="68" t="s">
        <v>158</v>
      </c>
      <c r="B2" s="68">
        <v>2011</v>
      </c>
      <c r="C2" s="68">
        <v>2012</v>
      </c>
      <c r="D2" s="68">
        <v>2013</v>
      </c>
      <c r="E2" s="68">
        <v>2014</v>
      </c>
      <c r="F2" s="68">
        <v>2015</v>
      </c>
      <c r="G2" s="68">
        <v>2016</v>
      </c>
      <c r="H2" s="68">
        <v>2017</v>
      </c>
      <c r="I2" s="68">
        <v>2018</v>
      </c>
      <c r="J2" s="68">
        <v>2019</v>
      </c>
      <c r="K2" s="68">
        <v>2020</v>
      </c>
      <c r="L2" s="68">
        <v>2021</v>
      </c>
      <c r="M2" s="68">
        <v>2022</v>
      </c>
      <c r="N2" s="68">
        <v>2023</v>
      </c>
      <c r="O2" s="68">
        <v>2024</v>
      </c>
      <c r="P2" s="68">
        <v>2025</v>
      </c>
      <c r="R2" s="122" t="s">
        <v>65</v>
      </c>
      <c r="S2" s="122" t="s">
        <v>69</v>
      </c>
      <c r="T2" s="122" t="s">
        <v>73</v>
      </c>
      <c r="U2" s="122" t="s">
        <v>77</v>
      </c>
      <c r="V2" s="122" t="s">
        <v>235</v>
      </c>
      <c r="W2" s="122" t="s">
        <v>251</v>
      </c>
      <c r="X2" s="122" t="s">
        <v>270</v>
      </c>
      <c r="Y2" s="122" t="s">
        <v>287</v>
      </c>
      <c r="AA2" s="122" t="s">
        <v>64</v>
      </c>
      <c r="AB2" s="122" t="s">
        <v>68</v>
      </c>
      <c r="AC2" s="122" t="s">
        <v>72</v>
      </c>
      <c r="AD2" s="122" t="s">
        <v>76</v>
      </c>
      <c r="AE2" s="122" t="s">
        <v>232</v>
      </c>
      <c r="AF2" s="122" t="s">
        <v>250</v>
      </c>
      <c r="AG2" s="122" t="s">
        <v>269</v>
      </c>
      <c r="AH2" s="122" t="s">
        <v>286</v>
      </c>
      <c r="AI2" s="122" t="s">
        <v>349</v>
      </c>
      <c r="AK2" s="122" t="s">
        <v>95</v>
      </c>
      <c r="AL2" s="122" t="s">
        <v>96</v>
      </c>
      <c r="AM2" s="122" t="s">
        <v>97</v>
      </c>
      <c r="AN2" s="122" t="s">
        <v>98</v>
      </c>
      <c r="AO2" s="122" t="s">
        <v>99</v>
      </c>
      <c r="AP2" s="122" t="s">
        <v>100</v>
      </c>
      <c r="AQ2" s="122" t="s">
        <v>101</v>
      </c>
      <c r="AR2" s="122" t="s">
        <v>102</v>
      </c>
      <c r="AS2" s="122" t="s">
        <v>103</v>
      </c>
      <c r="AT2" s="122" t="s">
        <v>104</v>
      </c>
      <c r="AU2" s="122" t="s">
        <v>105</v>
      </c>
      <c r="AV2" s="122" t="s">
        <v>106</v>
      </c>
      <c r="AW2" s="122" t="s">
        <v>107</v>
      </c>
      <c r="AX2" s="122" t="s">
        <v>108</v>
      </c>
      <c r="AY2" s="122" t="s">
        <v>109</v>
      </c>
      <c r="AZ2" s="122" t="s">
        <v>223</v>
      </c>
      <c r="BA2" s="122" t="s">
        <v>229</v>
      </c>
      <c r="BB2" s="122" t="s">
        <v>233</v>
      </c>
      <c r="BC2" s="122" t="s">
        <v>236</v>
      </c>
      <c r="BD2" s="122" t="s">
        <v>242</v>
      </c>
      <c r="BE2" s="122" t="s">
        <v>244</v>
      </c>
      <c r="BF2" s="122" t="s">
        <v>253</v>
      </c>
      <c r="BG2" s="122" t="s">
        <v>254</v>
      </c>
      <c r="BH2" s="122" t="s">
        <v>255</v>
      </c>
      <c r="BI2" s="122" t="s">
        <v>272</v>
      </c>
      <c r="BJ2" s="122" t="s">
        <v>273</v>
      </c>
      <c r="BK2" s="122" t="s">
        <v>274</v>
      </c>
      <c r="BL2" s="122" t="s">
        <v>275</v>
      </c>
      <c r="BM2" s="122" t="s">
        <v>289</v>
      </c>
      <c r="BN2" s="122" t="s">
        <v>290</v>
      </c>
      <c r="BO2" s="122" t="s">
        <v>291</v>
      </c>
      <c r="BP2" s="122" t="s">
        <v>292</v>
      </c>
      <c r="BQ2" s="122" t="s">
        <v>337</v>
      </c>
      <c r="BR2" s="122" t="s">
        <v>344</v>
      </c>
    </row>
    <row r="3" spans="1:70" x14ac:dyDescent="0.25">
      <c r="A3" s="66" t="s">
        <v>159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R3" s="70"/>
      <c r="S3" s="70"/>
      <c r="T3" s="70"/>
      <c r="U3" s="70"/>
      <c r="V3" s="70"/>
      <c r="W3" s="70"/>
      <c r="X3" s="70"/>
      <c r="Y3" s="70"/>
      <c r="AA3" s="70"/>
      <c r="AB3" s="70"/>
      <c r="AC3" s="70"/>
      <c r="AD3" s="70"/>
      <c r="AE3" s="70"/>
      <c r="AF3" s="70"/>
      <c r="AG3" s="70"/>
      <c r="AH3" s="70"/>
      <c r="AI3" s="70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119"/>
      <c r="BH3" s="119"/>
      <c r="BI3" s="119"/>
      <c r="BJ3" s="119"/>
      <c r="BK3" s="119"/>
      <c r="BL3" s="119"/>
      <c r="BM3" s="119"/>
      <c r="BN3" s="119"/>
      <c r="BO3" s="119"/>
      <c r="BP3" s="119"/>
      <c r="BQ3" s="119"/>
      <c r="BR3" s="119"/>
    </row>
    <row r="4" spans="1:70" x14ac:dyDescent="0.25">
      <c r="A4" s="62" t="s">
        <v>160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70" x14ac:dyDescent="0.25">
      <c r="A5" s="72" t="s">
        <v>161</v>
      </c>
      <c r="B5" s="57">
        <v>14.112</v>
      </c>
      <c r="C5" s="57">
        <v>13.545999999999999</v>
      </c>
      <c r="D5" s="57">
        <v>20.861999999999998</v>
      </c>
      <c r="E5" s="57">
        <v>18.198</v>
      </c>
      <c r="F5" s="57">
        <v>14.855</v>
      </c>
      <c r="G5" s="57">
        <v>11.72</v>
      </c>
      <c r="H5" s="57">
        <v>14.16</v>
      </c>
      <c r="I5" s="142">
        <f>SUM(AK5:AN5)</f>
        <v>16.358315000000001</v>
      </c>
      <c r="J5" s="142">
        <f>SUM(AO5:AR5)</f>
        <v>12.976760000000001</v>
      </c>
      <c r="K5" s="142">
        <f>SUM(AS5:AV5)</f>
        <v>15.844999999999999</v>
      </c>
      <c r="L5" s="142">
        <f>SUM(AW5:AZ5)</f>
        <v>18.353000000000002</v>
      </c>
      <c r="M5" s="142">
        <f>SUM(BA5:BD5)</f>
        <v>25.597000000000001</v>
      </c>
      <c r="N5" s="142">
        <f>SUM(BE5:BH5)</f>
        <v>34.030710000000013</v>
      </c>
      <c r="O5" s="142">
        <f>SUM(BI5:BL5)</f>
        <v>18.942999347000011</v>
      </c>
      <c r="P5" s="142">
        <f>SUM(BM5:BP5)</f>
        <v>18.763149127500011</v>
      </c>
      <c r="Q5" s="28"/>
      <c r="R5" s="143">
        <f>SUM(AK5:AM5)</f>
        <v>6.8833950000000002</v>
      </c>
      <c r="S5" s="143">
        <f>SUM(AO5:AQ5)</f>
        <v>7.0787600000000008</v>
      </c>
      <c r="T5" s="143">
        <f>SUM(AS5:AU5)</f>
        <v>10.920999999999999</v>
      </c>
      <c r="U5" s="143">
        <f>SUM(AW5:AY5)</f>
        <v>10.438000000000001</v>
      </c>
      <c r="V5" s="143">
        <f>SUM(BA5:BC5)</f>
        <v>13.169</v>
      </c>
      <c r="W5" s="143">
        <f>SUM(BE5:BG5)</f>
        <v>20.224708790000012</v>
      </c>
      <c r="X5" s="143">
        <f>SUM(BI5:BK5)</f>
        <v>10.057441628000001</v>
      </c>
      <c r="Y5" s="143">
        <f>SUM(BM5:BO5)</f>
        <v>11.36689741</v>
      </c>
      <c r="Z5" s="28"/>
      <c r="AA5" s="143">
        <f>SUM(AK5:AL5)</f>
        <v>2.8468750000000003</v>
      </c>
      <c r="AB5" s="143">
        <f>SUM(AO5:AP5)</f>
        <v>2.9739200000000001</v>
      </c>
      <c r="AC5" s="143">
        <f>SUM(AS5:AT5)</f>
        <v>5.4989999999999997</v>
      </c>
      <c r="AD5" s="143">
        <f>SUM(AW5:AX5)</f>
        <v>6.0230000000000006</v>
      </c>
      <c r="AE5" s="143">
        <f>SUM(BA5:BB5)</f>
        <v>8.6760000000000002</v>
      </c>
      <c r="AF5" s="143">
        <f>SUM(BE5:BF5)</f>
        <v>13.03061186</v>
      </c>
      <c r="AG5" s="143">
        <f>SUM(BI5:BJ5)</f>
        <v>7.2604416280000006</v>
      </c>
      <c r="AH5" s="143">
        <f>SUM(BM5:BN5)</f>
        <v>7.792804649999999</v>
      </c>
      <c r="AI5" s="143">
        <f>SUM(BQ5:BR5)</f>
        <v>5.3479104880000028</v>
      </c>
      <c r="AJ5" s="73"/>
      <c r="AK5" s="74">
        <v>0.221195</v>
      </c>
      <c r="AL5" s="74">
        <v>2.6256800000000005</v>
      </c>
      <c r="AM5" s="74">
        <v>4.0365200000000003</v>
      </c>
      <c r="AN5" s="74">
        <v>9.4749200000000009</v>
      </c>
      <c r="AO5" s="74">
        <v>0.35332000000000002</v>
      </c>
      <c r="AP5" s="74">
        <v>2.6206</v>
      </c>
      <c r="AQ5" s="74">
        <v>4.1048400000000003</v>
      </c>
      <c r="AR5" s="74">
        <v>5.8979999999999997</v>
      </c>
      <c r="AS5" s="74">
        <v>0.439</v>
      </c>
      <c r="AT5" s="74">
        <v>5.0599999999999996</v>
      </c>
      <c r="AU5" s="74">
        <v>5.4219999999999997</v>
      </c>
      <c r="AV5" s="74">
        <v>4.9240000000000004</v>
      </c>
      <c r="AW5" s="74">
        <v>0.58299999999999996</v>
      </c>
      <c r="AX5" s="74">
        <v>5.44</v>
      </c>
      <c r="AY5" s="74">
        <v>4.415</v>
      </c>
      <c r="AZ5" s="74">
        <v>7.915</v>
      </c>
      <c r="BA5" s="74">
        <v>1.0629999999999999</v>
      </c>
      <c r="BB5" s="74">
        <v>7.6130000000000004</v>
      </c>
      <c r="BC5" s="74">
        <v>4.4930000000000003</v>
      </c>
      <c r="BD5" s="74">
        <v>12.428000000000001</v>
      </c>
      <c r="BE5" s="74">
        <v>1.2010000000000001</v>
      </c>
      <c r="BF5" s="74">
        <v>11.82961186</v>
      </c>
      <c r="BG5" s="74">
        <v>7.1940969300000104</v>
      </c>
      <c r="BH5" s="74">
        <v>13.806001210000002</v>
      </c>
      <c r="BI5" s="74">
        <v>1.201441628</v>
      </c>
      <c r="BJ5" s="74">
        <v>6.0590000000000002</v>
      </c>
      <c r="BK5" s="74">
        <v>2.7970000000000002</v>
      </c>
      <c r="BL5" s="74">
        <v>8.8855577190000101</v>
      </c>
      <c r="BM5" s="74">
        <v>2.5653576499999997</v>
      </c>
      <c r="BN5" s="74">
        <v>5.2274469999999997</v>
      </c>
      <c r="BO5" s="74">
        <v>3.5740927600000014</v>
      </c>
      <c r="BP5" s="74">
        <v>7.39625171750001</v>
      </c>
      <c r="BQ5" s="74">
        <v>2.1586033599999999</v>
      </c>
      <c r="BR5" s="74">
        <v>3.1893071280000029</v>
      </c>
    </row>
    <row r="6" spans="1:70" x14ac:dyDescent="0.25">
      <c r="A6" s="72" t="s">
        <v>162</v>
      </c>
      <c r="B6" s="57">
        <v>49.012</v>
      </c>
      <c r="C6" s="57">
        <v>50.024000000000001</v>
      </c>
      <c r="D6" s="57">
        <v>69.856999999999999</v>
      </c>
      <c r="E6" s="57">
        <v>76.491</v>
      </c>
      <c r="F6" s="57">
        <v>46.789000000000001</v>
      </c>
      <c r="G6" s="57">
        <v>66</v>
      </c>
      <c r="H6" s="57">
        <v>70</v>
      </c>
      <c r="I6" s="142">
        <f>SUM(AK6:AN6)</f>
        <v>82.017891999999989</v>
      </c>
      <c r="J6" s="142">
        <f>SUM(AO6:AR6)</f>
        <v>125.80584999999999</v>
      </c>
      <c r="K6" s="142">
        <f>SUM(AS6:AV6)</f>
        <v>159.57</v>
      </c>
      <c r="L6" s="142">
        <f>SUM(AW6:AZ6)</f>
        <v>183.5881550000002</v>
      </c>
      <c r="M6" s="142">
        <f>SUM(BA6:BD6)</f>
        <v>239.30599999999998</v>
      </c>
      <c r="N6" s="142">
        <f t="shared" ref="N6:N12" si="0">SUM(BE6:BH6)</f>
        <v>355.07030039999995</v>
      </c>
      <c r="O6" s="142">
        <f>SUM(BI6:BL6)</f>
        <v>438.4412979999999</v>
      </c>
      <c r="P6" s="142">
        <f>SUM(BM6:BP6)</f>
        <v>553.84216400000003</v>
      </c>
      <c r="Q6" s="28"/>
      <c r="R6" s="143">
        <f>SUM(AK6:AM6)</f>
        <v>54.679334999999995</v>
      </c>
      <c r="S6" s="143">
        <f>SUM(AO6:AQ6)</f>
        <v>89.898849999999996</v>
      </c>
      <c r="T6" s="143">
        <f>SUM(AS6:AU6)</f>
        <v>120.245</v>
      </c>
      <c r="U6" s="143">
        <f>SUM(AW6:AY6)</f>
        <v>125.96628000000021</v>
      </c>
      <c r="V6" s="143">
        <f>SUM(BA6:BC6)</f>
        <v>159.62799999999999</v>
      </c>
      <c r="W6" s="143">
        <f>SUM(BE6:BG6)</f>
        <v>257.85105139999996</v>
      </c>
      <c r="X6" s="143">
        <f>SUM(BI6:BK6)</f>
        <v>285.13945099999989</v>
      </c>
      <c r="Y6" s="143">
        <f>SUM(BM6:BO6)</f>
        <v>389.70031400000005</v>
      </c>
      <c r="Z6" s="28"/>
      <c r="AA6" s="143">
        <f>SUM(AK6:AL6)</f>
        <v>19.332319999999999</v>
      </c>
      <c r="AB6" s="143">
        <f>SUM(AO6:AP6)</f>
        <v>41.638199999999998</v>
      </c>
      <c r="AC6" s="143">
        <f>SUM(AS6:AT6)</f>
        <v>50.228000000000002</v>
      </c>
      <c r="AD6" s="143">
        <f>SUM(AW6:AX6)</f>
        <v>48.257000000000005</v>
      </c>
      <c r="AE6" s="143">
        <f t="shared" ref="AE6:AE7" si="1">SUM(BA6:BB6)</f>
        <v>67.576999999999998</v>
      </c>
      <c r="AF6" s="143">
        <f t="shared" ref="AF6:AF7" si="2">SUM(BE6:BF6)</f>
        <v>106.3888054</v>
      </c>
      <c r="AG6" s="143">
        <f>SUM(BI6:BJ6)</f>
        <v>96.816450999999901</v>
      </c>
      <c r="AH6" s="143">
        <f>SUM(BM6:BN6)</f>
        <v>165.15314900000001</v>
      </c>
      <c r="AI6" s="143">
        <f>SUM(BQ6:BR6)</f>
        <v>225.51726000000008</v>
      </c>
      <c r="AJ6" s="73"/>
      <c r="AK6" s="74">
        <v>4.1420000000000003</v>
      </c>
      <c r="AL6" s="74">
        <v>15.19032</v>
      </c>
      <c r="AM6" s="74">
        <v>35.347014999999999</v>
      </c>
      <c r="AN6" s="74">
        <v>27.338557000000002</v>
      </c>
      <c r="AO6" s="74">
        <v>9.3305249999999997</v>
      </c>
      <c r="AP6" s="74">
        <v>32.307674999999996</v>
      </c>
      <c r="AQ6" s="74">
        <v>48.260649999999998</v>
      </c>
      <c r="AR6" s="74">
        <v>35.906999999999996</v>
      </c>
      <c r="AS6" s="74">
        <v>9.18</v>
      </c>
      <c r="AT6" s="74">
        <v>41.048000000000002</v>
      </c>
      <c r="AU6" s="74">
        <v>70.016999999999996</v>
      </c>
      <c r="AV6" s="74">
        <v>39.325000000000003</v>
      </c>
      <c r="AW6" s="74">
        <v>10.239000000000001</v>
      </c>
      <c r="AX6" s="74">
        <v>38.018000000000001</v>
      </c>
      <c r="AY6" s="74">
        <v>77.709280000000206</v>
      </c>
      <c r="AZ6" s="74">
        <v>57.621875000000003</v>
      </c>
      <c r="BA6" s="74">
        <v>18.859000000000002</v>
      </c>
      <c r="BB6" s="74">
        <v>48.718000000000004</v>
      </c>
      <c r="BC6" s="74">
        <v>92.051000000000002</v>
      </c>
      <c r="BD6" s="74">
        <v>79.677999999999997</v>
      </c>
      <c r="BE6" s="74">
        <v>33.435000000000002</v>
      </c>
      <c r="BF6" s="74">
        <v>72.953805399999993</v>
      </c>
      <c r="BG6" s="74">
        <v>151.46224599999999</v>
      </c>
      <c r="BH6" s="74">
        <v>97.219249000000019</v>
      </c>
      <c r="BI6" s="74">
        <v>35.9054509999999</v>
      </c>
      <c r="BJ6" s="74">
        <v>60.911000000000001</v>
      </c>
      <c r="BK6" s="74">
        <v>188.32300000000001</v>
      </c>
      <c r="BL6" s="74">
        <v>153.30184700000001</v>
      </c>
      <c r="BM6" s="74">
        <v>62.833008</v>
      </c>
      <c r="BN6" s="74">
        <v>102.32014100000001</v>
      </c>
      <c r="BO6" s="74">
        <v>224.54716500000001</v>
      </c>
      <c r="BP6" s="74">
        <v>164.14185000000001</v>
      </c>
      <c r="BQ6" s="74">
        <v>102.82102</v>
      </c>
      <c r="BR6" s="74">
        <v>122.69624000000009</v>
      </c>
    </row>
    <row r="7" spans="1:70" x14ac:dyDescent="0.25">
      <c r="A7" s="72" t="s">
        <v>217</v>
      </c>
      <c r="B7" s="57">
        <v>1378</v>
      </c>
      <c r="C7" s="57">
        <v>2024</v>
      </c>
      <c r="D7" s="57">
        <v>2674</v>
      </c>
      <c r="E7" s="57">
        <v>3274</v>
      </c>
      <c r="F7" s="57">
        <v>4040</v>
      </c>
      <c r="G7" s="57">
        <v>4807</v>
      </c>
      <c r="H7" s="57">
        <v>6119</v>
      </c>
      <c r="I7" s="142">
        <f>SUM(AK7:AN7)</f>
        <v>8015.4620800000002</v>
      </c>
      <c r="J7" s="142">
        <f>SUM(AO7:AR7)</f>
        <v>9681.7956400000003</v>
      </c>
      <c r="K7" s="142">
        <f>SUM(AS7:AV7)</f>
        <v>12168.166000000001</v>
      </c>
      <c r="L7" s="142">
        <f>SUM(AW7:AZ7)</f>
        <v>14362.256180000033</v>
      </c>
      <c r="M7" s="142">
        <f>SUM(BA7:BD7)</f>
        <v>14253.240619999986</v>
      </c>
      <c r="N7" s="142">
        <f t="shared" si="0"/>
        <v>18968.675409999989</v>
      </c>
      <c r="O7" s="142">
        <f>SUM(BI7:BL7)</f>
        <v>25968.689120000112</v>
      </c>
      <c r="P7" s="142">
        <f>SUM(BM7:BP7)</f>
        <v>28229.901614999846</v>
      </c>
      <c r="Q7" s="28"/>
      <c r="R7" s="143">
        <f>SUM(AK7:AM7)</f>
        <v>4903.1091500000002</v>
      </c>
      <c r="S7" s="143">
        <f>SUM(AO7:AQ7)</f>
        <v>5596.2996400000002</v>
      </c>
      <c r="T7" s="143">
        <f>SUM(AS7:AU7)</f>
        <v>7325.1080000000002</v>
      </c>
      <c r="U7" s="143">
        <f>SUM(AW7:AY7)</f>
        <v>9365.4520700000339</v>
      </c>
      <c r="V7" s="143">
        <f>SUM(BA7:BC7)</f>
        <v>7669.2406199999859</v>
      </c>
      <c r="W7" s="143">
        <f>SUM(BE7:BG7)</f>
        <v>9775.2451499998788</v>
      </c>
      <c r="X7" s="143">
        <f>SUM(BI7:BK7)</f>
        <v>14234.469070000239</v>
      </c>
      <c r="Y7" s="143">
        <f>SUM(BM7:BO7)</f>
        <v>16907.186924999962</v>
      </c>
      <c r="Z7" s="28"/>
      <c r="AA7" s="143">
        <f>SUM(AK7:AL7)</f>
        <v>2799.5823599999999</v>
      </c>
      <c r="AB7" s="143">
        <f>SUM(AO7:AP7)</f>
        <v>3033.0878200000002</v>
      </c>
      <c r="AC7" s="143">
        <f>SUM(AS7:AT7)</f>
        <v>3837.3440000000001</v>
      </c>
      <c r="AD7" s="143">
        <f>SUM(AW7:AX7)</f>
        <v>5801.6769999999997</v>
      </c>
      <c r="AE7" s="143">
        <f t="shared" si="1"/>
        <v>4642.4406199999858</v>
      </c>
      <c r="AF7" s="143">
        <f t="shared" si="2"/>
        <v>5961.3509899999299</v>
      </c>
      <c r="AG7" s="143">
        <f>SUM(BI7:BJ7)</f>
        <v>9483.2170700002389</v>
      </c>
      <c r="AH7" s="143">
        <f>SUM(BM7:BN7)</f>
        <v>11042.751594999972</v>
      </c>
      <c r="AI7" s="143">
        <f>SUM(BQ7:BR7)</f>
        <v>11934.086020000652</v>
      </c>
      <c r="AJ7" s="73"/>
      <c r="AK7" s="74">
        <v>2119.0320899999997</v>
      </c>
      <c r="AL7" s="74">
        <v>680.55027000000007</v>
      </c>
      <c r="AM7" s="74">
        <v>2103.5267899999999</v>
      </c>
      <c r="AN7" s="74">
        <v>3112.35293</v>
      </c>
      <c r="AO7" s="74">
        <v>2336.8981400000002</v>
      </c>
      <c r="AP7" s="74">
        <v>696.18968000000007</v>
      </c>
      <c r="AQ7" s="74">
        <v>2563.21182</v>
      </c>
      <c r="AR7" s="74">
        <v>4085.4960000000001</v>
      </c>
      <c r="AS7" s="74">
        <v>2529.8609999999999</v>
      </c>
      <c r="AT7" s="74">
        <v>1307.4829999999999</v>
      </c>
      <c r="AU7" s="74">
        <v>3487.7640000000001</v>
      </c>
      <c r="AV7" s="74">
        <v>4843.058</v>
      </c>
      <c r="AW7" s="74">
        <v>4093.9070000000002</v>
      </c>
      <c r="AX7" s="74">
        <v>1707.77</v>
      </c>
      <c r="AY7" s="74">
        <v>3563.7750700000338</v>
      </c>
      <c r="AZ7" s="74">
        <v>4996.80411</v>
      </c>
      <c r="BA7" s="74">
        <v>3219.4406199999858</v>
      </c>
      <c r="BB7" s="74">
        <v>1423</v>
      </c>
      <c r="BC7" s="74">
        <v>3026.8</v>
      </c>
      <c r="BD7" s="74">
        <v>6584</v>
      </c>
      <c r="BE7" s="74">
        <v>3901</v>
      </c>
      <c r="BF7" s="74">
        <v>2060.3509899999299</v>
      </c>
      <c r="BG7" s="74">
        <v>3813.8941599999498</v>
      </c>
      <c r="BH7" s="74">
        <v>9193.4302600001101</v>
      </c>
      <c r="BI7" s="74">
        <v>7497.2170700002398</v>
      </c>
      <c r="BJ7" s="74">
        <v>1986</v>
      </c>
      <c r="BK7" s="74">
        <v>4751.2520000000004</v>
      </c>
      <c r="BL7" s="74">
        <v>11734.220049999871</v>
      </c>
      <c r="BM7" s="74">
        <v>8354.5777049999706</v>
      </c>
      <c r="BN7" s="74">
        <v>2688.1738900000009</v>
      </c>
      <c r="BO7" s="74">
        <v>5864.4353299999893</v>
      </c>
      <c r="BP7" s="74">
        <v>11322.714689999884</v>
      </c>
      <c r="BQ7" s="74">
        <v>9001.1404199999924</v>
      </c>
      <c r="BR7" s="74">
        <v>2932.9456000006594</v>
      </c>
    </row>
    <row r="8" spans="1:70" x14ac:dyDescent="0.25">
      <c r="A8" s="72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</row>
    <row r="9" spans="1:70" x14ac:dyDescent="0.25">
      <c r="A9" s="62" t="s">
        <v>163</v>
      </c>
      <c r="B9" s="75">
        <v>361.9144</v>
      </c>
      <c r="C9" s="75">
        <v>354.31081900000004</v>
      </c>
      <c r="D9" s="75">
        <v>461.36140599999999</v>
      </c>
      <c r="E9" s="75">
        <v>286.072316</v>
      </c>
      <c r="F9" s="75">
        <v>338.83388195999999</v>
      </c>
      <c r="G9" s="75">
        <v>277.35967388</v>
      </c>
      <c r="H9" s="75">
        <v>396.74941530699999</v>
      </c>
      <c r="I9" s="18">
        <f>SUM(I10:I12)</f>
        <v>370.99989800000003</v>
      </c>
      <c r="J9" s="18">
        <f>SUM(J10:J12)</f>
        <v>430.200018</v>
      </c>
      <c r="K9" s="18">
        <f>SUM(K10:K12)</f>
        <v>377.976</v>
      </c>
      <c r="L9" s="18">
        <f>SUM(L10:L12)</f>
        <v>670.82896900000128</v>
      </c>
      <c r="M9" s="18">
        <f>SUM(M10:M12)</f>
        <v>610.39400000000001</v>
      </c>
      <c r="N9" s="18">
        <f t="shared" si="0"/>
        <v>1028.3990229999997</v>
      </c>
      <c r="O9" s="18">
        <f>SUM(BI9:BL9)</f>
        <v>1874.4453982150008</v>
      </c>
      <c r="P9" s="18">
        <f>SUM(BM9:BP9)</f>
        <v>3017.8633129909995</v>
      </c>
      <c r="Q9" s="28"/>
      <c r="R9" s="28">
        <f>SUM(AK9:AM9)</f>
        <v>296.71323799999999</v>
      </c>
      <c r="S9" s="28">
        <f>SUM(AO9:AQ9)</f>
        <v>378.89401799999996</v>
      </c>
      <c r="T9" s="28">
        <f>SUM(AS9:AU9)</f>
        <v>336.98399999999998</v>
      </c>
      <c r="U9" s="28">
        <f>SUM(AW9:AY9)</f>
        <v>513.88082600000121</v>
      </c>
      <c r="V9" s="28">
        <f>SUM(BA9:BC9)</f>
        <v>452.37800000000004</v>
      </c>
      <c r="W9" s="28">
        <f>SUM(BE9:BG9)</f>
        <v>787.84438599999987</v>
      </c>
      <c r="X9" s="28">
        <f>SUM(BI9:BK9)</f>
        <v>1415.3087772150002</v>
      </c>
      <c r="Y9" s="28">
        <f>SUM(BM9:BO9)</f>
        <v>2238.4809949909995</v>
      </c>
      <c r="Z9" s="28"/>
      <c r="AA9" s="28">
        <f>SUM(AK9:AL9)</f>
        <v>211.35396800000001</v>
      </c>
      <c r="AB9" s="28">
        <f>SUM(AO9:AP9)</f>
        <v>288.11363799999998</v>
      </c>
      <c r="AC9" s="28">
        <f>SUM(AS9:AT9)</f>
        <v>285.416</v>
      </c>
      <c r="AD9" s="28">
        <f>SUM(AW9:AX9)</f>
        <v>259.839</v>
      </c>
      <c r="AE9" s="28">
        <f>SUM(BA9:BB9)</f>
        <v>290.37800000000004</v>
      </c>
      <c r="AF9" s="28">
        <f t="shared" ref="AF9:AF12" si="3">SUM(BE9:BF9)</f>
        <v>538.05759499999999</v>
      </c>
      <c r="AG9" s="28">
        <f>SUM(BI9:BJ9)</f>
        <v>882.05188199999998</v>
      </c>
      <c r="AH9" s="28">
        <f>SUM(BM9:BN9)</f>
        <v>1234.115651991</v>
      </c>
      <c r="AI9" s="28">
        <f>SUM(BQ9:BR9)</f>
        <v>1895.8848569999993</v>
      </c>
      <c r="AJ9" s="73"/>
      <c r="AK9" s="73">
        <f t="shared" ref="AK9:BA9" si="4">SUM(AK10:AK12)</f>
        <v>81.345506999999998</v>
      </c>
      <c r="AL9" s="73">
        <f t="shared" si="4"/>
        <v>130.00846100000001</v>
      </c>
      <c r="AM9" s="73">
        <f t="shared" si="4"/>
        <v>85.359269999999995</v>
      </c>
      <c r="AN9" s="73">
        <f t="shared" si="4"/>
        <v>74.286660000000012</v>
      </c>
      <c r="AO9" s="73">
        <f t="shared" si="4"/>
        <v>124.46561</v>
      </c>
      <c r="AP9" s="73">
        <f t="shared" si="4"/>
        <v>163.64802799999998</v>
      </c>
      <c r="AQ9" s="73">
        <f t="shared" si="4"/>
        <v>90.780380000000008</v>
      </c>
      <c r="AR9" s="73">
        <f t="shared" si="4"/>
        <v>51.305999999999997</v>
      </c>
      <c r="AS9" s="73">
        <f t="shared" si="4"/>
        <v>75.783000000000001</v>
      </c>
      <c r="AT9" s="73">
        <f t="shared" si="4"/>
        <v>209.63299999999998</v>
      </c>
      <c r="AU9" s="73">
        <f t="shared" si="4"/>
        <v>51.568000000000005</v>
      </c>
      <c r="AV9" s="73">
        <f t="shared" si="4"/>
        <v>40.992000000000004</v>
      </c>
      <c r="AW9" s="73">
        <f t="shared" si="4"/>
        <v>66.920999999999992</v>
      </c>
      <c r="AX9" s="73">
        <f t="shared" si="4"/>
        <v>192.91800000000001</v>
      </c>
      <c r="AY9" s="73">
        <f t="shared" si="4"/>
        <v>254.04182600000115</v>
      </c>
      <c r="AZ9" s="73">
        <f t="shared" si="4"/>
        <v>156.94814300000002</v>
      </c>
      <c r="BA9" s="73">
        <f t="shared" si="4"/>
        <v>167.37700000000001</v>
      </c>
      <c r="BB9" s="73">
        <f t="shared" ref="BB9:BG9" si="5">SUM(BB10:BB12)</f>
        <v>123.001</v>
      </c>
      <c r="BC9" s="73">
        <f t="shared" si="5"/>
        <v>162</v>
      </c>
      <c r="BD9" s="73">
        <f t="shared" si="5"/>
        <v>158.01600000000002</v>
      </c>
      <c r="BE9" s="73">
        <f t="shared" si="5"/>
        <v>251.833</v>
      </c>
      <c r="BF9" s="73">
        <f t="shared" si="5"/>
        <v>286.22459500000002</v>
      </c>
      <c r="BG9" s="73">
        <f t="shared" si="5"/>
        <v>249.78679099999988</v>
      </c>
      <c r="BH9" s="73">
        <f t="shared" ref="BH9:BI9" si="6">SUM(BH10:BH12)</f>
        <v>240.55463699999984</v>
      </c>
      <c r="BI9" s="73">
        <f t="shared" si="6"/>
        <v>428.72988199999998</v>
      </c>
      <c r="BJ9" s="73">
        <f t="shared" ref="BJ9" si="7">SUM(BJ10:BJ12)</f>
        <v>453.322</v>
      </c>
      <c r="BK9" s="73">
        <f t="shared" ref="BK9" si="8">SUM(BK10:BK12)</f>
        <v>533.2568952150001</v>
      </c>
      <c r="BL9" s="73">
        <f t="shared" ref="BL9:BR9" si="9">SUM(BL10:BL12)</f>
        <v>459.13662100000045</v>
      </c>
      <c r="BM9" s="73">
        <f t="shared" si="9"/>
        <v>640.28013200000009</v>
      </c>
      <c r="BN9" s="73">
        <f t="shared" si="9"/>
        <v>593.83551999099996</v>
      </c>
      <c r="BO9" s="83">
        <f t="shared" si="9"/>
        <v>1004.3653429999995</v>
      </c>
      <c r="BP9" s="83">
        <f t="shared" si="9"/>
        <v>779.38231799999994</v>
      </c>
      <c r="BQ9" s="83">
        <f t="shared" si="9"/>
        <v>834.67812900000013</v>
      </c>
      <c r="BR9" s="83">
        <f t="shared" si="9"/>
        <v>1061.2067279999992</v>
      </c>
    </row>
    <row r="10" spans="1:70" x14ac:dyDescent="0.25">
      <c r="A10" s="72" t="s">
        <v>164</v>
      </c>
      <c r="B10" s="57">
        <v>254.02857</v>
      </c>
      <c r="C10" s="57">
        <v>216.669026</v>
      </c>
      <c r="D10" s="57">
        <v>325.63475</v>
      </c>
      <c r="E10" s="57">
        <v>103.221367</v>
      </c>
      <c r="F10" s="57">
        <v>179.64220299999999</v>
      </c>
      <c r="G10" s="57">
        <v>220.34030100000001</v>
      </c>
      <c r="H10" s="57">
        <v>283.07756430699999</v>
      </c>
      <c r="I10" s="142">
        <f>SUM(AK10:AN10)</f>
        <v>267.02961100000005</v>
      </c>
      <c r="J10" s="142">
        <f>SUM(AO10:AR10)</f>
        <v>259.42365799999999</v>
      </c>
      <c r="K10" s="142">
        <f>SUM(AS10:AV10)</f>
        <v>231.02</v>
      </c>
      <c r="L10" s="142">
        <f>SUM(AW10:AZ10)</f>
        <v>443.86832000000106</v>
      </c>
      <c r="M10" s="142">
        <f>SUM(BA10:BD10)</f>
        <v>222.29700000000003</v>
      </c>
      <c r="N10" s="142">
        <f t="shared" si="0"/>
        <v>343.80111499999981</v>
      </c>
      <c r="O10" s="142">
        <f>SUM(BI10:BL10)</f>
        <v>1022.9897770000003</v>
      </c>
      <c r="P10" s="142">
        <f>SUM(BM10:BP10)</f>
        <v>1532.6232769909993</v>
      </c>
      <c r="Q10" s="28"/>
      <c r="R10" s="143">
        <f>SUM(AK10:AM10)</f>
        <v>221.84745900000001</v>
      </c>
      <c r="S10" s="143">
        <f>SUM(AO10:AQ10)</f>
        <v>228.86265800000001</v>
      </c>
      <c r="T10" s="143">
        <f>SUM(AS10:AU10)</f>
        <v>226.02</v>
      </c>
      <c r="U10" s="143">
        <f>SUM(AW10:AY10)</f>
        <v>374.96179700000107</v>
      </c>
      <c r="V10" s="143">
        <f>SUM(BA10:BC10)</f>
        <v>200.71800000000002</v>
      </c>
      <c r="W10" s="143">
        <f>SUM(BE10:BG10)</f>
        <v>266.1330979999999</v>
      </c>
      <c r="X10" s="143">
        <f t="shared" ref="X10:X12" si="10">SUM(BI10:BK10)</f>
        <v>733.53081500000008</v>
      </c>
      <c r="Y10" s="143">
        <f>SUM(BM10:BO10)</f>
        <v>1279.2048069909995</v>
      </c>
      <c r="Z10" s="28"/>
      <c r="AA10" s="143">
        <f>SUM(AK10:AL10)</f>
        <v>139.78487200000001</v>
      </c>
      <c r="AB10" s="143">
        <f>SUM(AO10:AP10)</f>
        <v>161.691168</v>
      </c>
      <c r="AC10" s="143">
        <f>SUM(AS10:AT10)</f>
        <v>177.387</v>
      </c>
      <c r="AD10" s="143">
        <f>SUM(AW10:AX10)</f>
        <v>166.59300000000002</v>
      </c>
      <c r="AE10" s="143">
        <f>SUM(BA10:BB10)</f>
        <v>104.09</v>
      </c>
      <c r="AF10" s="143">
        <f t="shared" si="3"/>
        <v>182.52459500000001</v>
      </c>
      <c r="AG10" s="143">
        <f>SUM(BI10:BJ10)</f>
        <v>463.70481500000005</v>
      </c>
      <c r="AH10" s="143">
        <f>SUM(BM10:BN10)</f>
        <v>763.01997799100002</v>
      </c>
      <c r="AI10" s="143">
        <f>SUM(BQ10:BR10)</f>
        <v>1377.9408519999993</v>
      </c>
      <c r="AJ10" s="73"/>
      <c r="AK10" s="74">
        <v>30.351766000000001</v>
      </c>
      <c r="AL10" s="74">
        <v>109.433106</v>
      </c>
      <c r="AM10" s="74">
        <v>82.062586999999994</v>
      </c>
      <c r="AN10" s="74">
        <v>45.182152000000002</v>
      </c>
      <c r="AO10" s="74">
        <v>38.474266999999998</v>
      </c>
      <c r="AP10" s="74">
        <v>123.21690099999999</v>
      </c>
      <c r="AQ10" s="74">
        <v>67.171490000000006</v>
      </c>
      <c r="AR10" s="74">
        <v>30.561</v>
      </c>
      <c r="AS10" s="74">
        <v>18.523</v>
      </c>
      <c r="AT10" s="74">
        <v>158.864</v>
      </c>
      <c r="AU10" s="74">
        <v>48.633000000000003</v>
      </c>
      <c r="AV10" s="74">
        <v>5</v>
      </c>
      <c r="AW10" s="74">
        <v>21.280999999999999</v>
      </c>
      <c r="AX10" s="74">
        <v>145.31200000000001</v>
      </c>
      <c r="AY10" s="74">
        <v>208.36879700000102</v>
      </c>
      <c r="AZ10" s="74">
        <v>68.906523000000007</v>
      </c>
      <c r="BA10" s="74">
        <v>34.744</v>
      </c>
      <c r="BB10" s="74">
        <v>69.346000000000004</v>
      </c>
      <c r="BC10" s="74">
        <v>96.628</v>
      </c>
      <c r="BD10" s="74">
        <v>21.579000000000001</v>
      </c>
      <c r="BE10" s="74">
        <v>42.048999999999999</v>
      </c>
      <c r="BF10" s="74">
        <v>140.475595</v>
      </c>
      <c r="BG10" s="74">
        <v>83.608502999999899</v>
      </c>
      <c r="BH10" s="74">
        <v>77.668016999999892</v>
      </c>
      <c r="BI10" s="74">
        <v>81.979815000000002</v>
      </c>
      <c r="BJ10" s="74">
        <v>381.72500000000002</v>
      </c>
      <c r="BK10" s="74">
        <v>269.82600000000002</v>
      </c>
      <c r="BL10" s="74">
        <v>289.45896200000027</v>
      </c>
      <c r="BM10" s="74">
        <v>239.28807700000002</v>
      </c>
      <c r="BN10" s="74">
        <v>523.73190099099997</v>
      </c>
      <c r="BO10" s="74">
        <v>516.18482899999947</v>
      </c>
      <c r="BP10" s="74">
        <v>253.41846999999987</v>
      </c>
      <c r="BQ10" s="74">
        <v>430.67361400000016</v>
      </c>
      <c r="BR10" s="74">
        <v>947.26723799999911</v>
      </c>
    </row>
    <row r="11" spans="1:70" x14ac:dyDescent="0.25">
      <c r="A11" s="72" t="s">
        <v>165</v>
      </c>
      <c r="B11" s="57">
        <v>26.591861000000002</v>
      </c>
      <c r="C11" s="57">
        <v>33.912629000000003</v>
      </c>
      <c r="D11" s="57">
        <v>40.852969999999999</v>
      </c>
      <c r="E11" s="57">
        <v>37.069454</v>
      </c>
      <c r="F11" s="57">
        <v>53.904912959999997</v>
      </c>
      <c r="G11" s="57">
        <v>15.740209</v>
      </c>
      <c r="H11" s="57">
        <v>38.325150999999998</v>
      </c>
      <c r="I11" s="142">
        <f>SUM(AK11:AN11)</f>
        <v>29.991101</v>
      </c>
      <c r="J11" s="142">
        <f>SUM(AO11:AR11)</f>
        <v>60.181280000000001</v>
      </c>
      <c r="K11" s="142">
        <f>SUM(AS11:AV11)</f>
        <v>42.009000000000007</v>
      </c>
      <c r="L11" s="142">
        <f>SUM(AW11:AZ11)</f>
        <v>62.192629000000046</v>
      </c>
      <c r="M11" s="142">
        <f>SUM(BA11:BD11)</f>
        <v>132.661</v>
      </c>
      <c r="N11" s="142">
        <f t="shared" si="0"/>
        <v>353.80688999999995</v>
      </c>
      <c r="O11" s="142">
        <f>SUM(BI11:BL11)</f>
        <v>453.83318621500018</v>
      </c>
      <c r="P11" s="142">
        <f>SUM(BM11:BP11)</f>
        <v>1022.5947140000002</v>
      </c>
      <c r="Q11" s="28"/>
      <c r="R11" s="143">
        <f>SUM(AK11:AM11)</f>
        <v>23.330791000000001</v>
      </c>
      <c r="S11" s="143">
        <f>SUM(AO11:AQ11)</f>
        <v>60.181280000000001</v>
      </c>
      <c r="T11" s="143">
        <f>SUM(AS11:AU11)</f>
        <v>39.934000000000005</v>
      </c>
      <c r="U11" s="143">
        <f>SUM(AW11:AY11)</f>
        <v>58.041049000000044</v>
      </c>
      <c r="V11" s="143">
        <f>SUM(BA11:BC11)</f>
        <v>99.13000000000001</v>
      </c>
      <c r="W11" s="143">
        <f>SUM(BE11:BG11)</f>
        <v>263.34709999999995</v>
      </c>
      <c r="X11" s="143">
        <f t="shared" si="10"/>
        <v>388.3502862150001</v>
      </c>
      <c r="Y11" s="143">
        <f>SUM(BM11:BO11)</f>
        <v>611.05137200000013</v>
      </c>
      <c r="Z11" s="28"/>
      <c r="AA11" s="143">
        <f>SUM(AK11:AL11)</f>
        <v>23.330791000000001</v>
      </c>
      <c r="AB11" s="143">
        <f>SUM(AO11:AP11)</f>
        <v>58.489359999999998</v>
      </c>
      <c r="AC11" s="143">
        <f>SUM(AS11:AT11)</f>
        <v>37.307000000000002</v>
      </c>
      <c r="AD11" s="143">
        <f>SUM(AW11:AX11)</f>
        <v>48.347000000000001</v>
      </c>
      <c r="AE11" s="143">
        <f>SUM(BA11:BB11)</f>
        <v>68.109000000000009</v>
      </c>
      <c r="AF11" s="143">
        <f t="shared" si="3"/>
        <v>125.70412999999999</v>
      </c>
      <c r="AG11" s="143">
        <f>SUM(BI11:BJ11)</f>
        <v>157.23190300000002</v>
      </c>
      <c r="AH11" s="143">
        <f>SUM(BM11:BN11)</f>
        <v>159.51731800000005</v>
      </c>
      <c r="AI11" s="143">
        <f>SUM(BQ11:BR11)</f>
        <v>307.064346</v>
      </c>
      <c r="AJ11" s="73"/>
      <c r="AK11" s="74">
        <v>23.330791000000001</v>
      </c>
      <c r="AL11" s="74">
        <v>0</v>
      </c>
      <c r="AM11" s="74">
        <v>0</v>
      </c>
      <c r="AN11" s="74">
        <v>6.6603100000000008</v>
      </c>
      <c r="AO11" s="74">
        <v>53.978383000000001</v>
      </c>
      <c r="AP11" s="74">
        <v>4.5109769999999996</v>
      </c>
      <c r="AQ11" s="74">
        <v>1.6919200000000001</v>
      </c>
      <c r="AR11" s="74">
        <v>0</v>
      </c>
      <c r="AS11" s="74">
        <v>14.423</v>
      </c>
      <c r="AT11" s="74">
        <v>22.884</v>
      </c>
      <c r="AU11" s="74">
        <v>2.6269999999999998</v>
      </c>
      <c r="AV11" s="74">
        <v>2.0750000000000002</v>
      </c>
      <c r="AW11" s="74">
        <v>36.372</v>
      </c>
      <c r="AX11" s="74">
        <v>11.975</v>
      </c>
      <c r="AY11" s="74">
        <v>9.6940490000000423</v>
      </c>
      <c r="AZ11" s="74">
        <v>4.15158</v>
      </c>
      <c r="BA11" s="74">
        <v>37.453000000000003</v>
      </c>
      <c r="BB11" s="74">
        <v>30.655999999999999</v>
      </c>
      <c r="BC11" s="74">
        <v>31.021000000000001</v>
      </c>
      <c r="BD11" s="74">
        <v>33.530999999999999</v>
      </c>
      <c r="BE11" s="74">
        <v>73.057000000000002</v>
      </c>
      <c r="BF11" s="74">
        <v>52.647129999999997</v>
      </c>
      <c r="BG11" s="74">
        <v>137.64296999999999</v>
      </c>
      <c r="BH11" s="74">
        <v>90.459789999999998</v>
      </c>
      <c r="BI11" s="74">
        <v>129.913903</v>
      </c>
      <c r="BJ11" s="74">
        <v>27.318000000000001</v>
      </c>
      <c r="BK11" s="74">
        <v>231.11838321500005</v>
      </c>
      <c r="BL11" s="74">
        <v>65.482900000000058</v>
      </c>
      <c r="BM11" s="74">
        <v>127.06086700000003</v>
      </c>
      <c r="BN11" s="74">
        <v>32.456451000000001</v>
      </c>
      <c r="BO11" s="74">
        <v>451.53405400000014</v>
      </c>
      <c r="BP11" s="74">
        <v>411.54334200000005</v>
      </c>
      <c r="BQ11" s="74">
        <v>237.39569499999996</v>
      </c>
      <c r="BR11" s="74">
        <v>69.66865100000004</v>
      </c>
    </row>
    <row r="12" spans="1:70" x14ac:dyDescent="0.25">
      <c r="A12" s="72" t="s">
        <v>166</v>
      </c>
      <c r="B12" s="57">
        <v>81.293969000000004</v>
      </c>
      <c r="C12" s="57">
        <v>103.729164</v>
      </c>
      <c r="D12" s="57">
        <v>94.873686000000006</v>
      </c>
      <c r="E12" s="57">
        <v>145.78149500000001</v>
      </c>
      <c r="F12" s="57">
        <v>105.286766</v>
      </c>
      <c r="G12" s="57">
        <v>41.279163879999999</v>
      </c>
      <c r="H12" s="57">
        <v>75.346699999999998</v>
      </c>
      <c r="I12" s="142">
        <f>SUM(AK12:AN12)</f>
        <v>73.979185999999999</v>
      </c>
      <c r="J12" s="142">
        <f>SUM(AO12:AR12)</f>
        <v>110.59508</v>
      </c>
      <c r="K12" s="142">
        <f>SUM(AS12:AV12)</f>
        <v>104.94700000000002</v>
      </c>
      <c r="L12" s="142">
        <f>SUM(AW12:AZ12)</f>
        <v>164.76802000000009</v>
      </c>
      <c r="M12" s="142">
        <f>SUM(BA12:BD12)</f>
        <v>255.43600000000001</v>
      </c>
      <c r="N12" s="142">
        <f t="shared" si="0"/>
        <v>330.79101799999995</v>
      </c>
      <c r="O12" s="142">
        <f>SUM(BI12:BL12)</f>
        <v>397.62243500000011</v>
      </c>
      <c r="P12" s="142">
        <f>SUM(BM12:BP12)</f>
        <v>462.64532199999996</v>
      </c>
      <c r="Q12" s="28"/>
      <c r="R12" s="143">
        <f>SUM(AK12:AM12)</f>
        <v>51.534987999999998</v>
      </c>
      <c r="S12" s="143">
        <f>SUM(AO12:AQ12)</f>
        <v>89.850079999999991</v>
      </c>
      <c r="T12" s="143">
        <f>SUM(AS12:AU12)</f>
        <v>71.030000000000015</v>
      </c>
      <c r="U12" s="143">
        <f>SUM(AW12:AY12)</f>
        <v>80.877980000000093</v>
      </c>
      <c r="V12" s="143">
        <f>SUM(BA12:BC12)</f>
        <v>152.53</v>
      </c>
      <c r="W12" s="143">
        <f>SUM(BE12:BG12)</f>
        <v>258.36418800000001</v>
      </c>
      <c r="X12" s="143">
        <f t="shared" si="10"/>
        <v>293.42767600000002</v>
      </c>
      <c r="Y12" s="143">
        <f>SUM(BM12:BO12)</f>
        <v>348.22481599999998</v>
      </c>
      <c r="Z12" s="28"/>
      <c r="AA12" s="143">
        <f>SUM(AK12:AL12)</f>
        <v>48.238304999999997</v>
      </c>
      <c r="AB12" s="143">
        <f>SUM(AO12:AP12)</f>
        <v>67.933109999999999</v>
      </c>
      <c r="AC12" s="143">
        <f>SUM(AS12:AT12)</f>
        <v>70.722000000000008</v>
      </c>
      <c r="AD12" s="143">
        <f>SUM(AW12:AX12)</f>
        <v>44.899000000000001</v>
      </c>
      <c r="AE12" s="143">
        <f>SUM(BA12:BB12)</f>
        <v>118.179</v>
      </c>
      <c r="AF12" s="143">
        <f t="shared" si="3"/>
        <v>229.82886999999999</v>
      </c>
      <c r="AG12" s="143">
        <f>SUM(BI12:BJ12)</f>
        <v>261.11516399999999</v>
      </c>
      <c r="AH12" s="143">
        <f>SUM(BM12:BN12)</f>
        <v>311.57835599999999</v>
      </c>
      <c r="AI12" s="143">
        <f>SUM(BQ12:BR12)</f>
        <v>210.87965900000012</v>
      </c>
      <c r="AJ12" s="73"/>
      <c r="AK12" s="74">
        <v>27.662949999999999</v>
      </c>
      <c r="AL12" s="74">
        <v>20.575355000000002</v>
      </c>
      <c r="AM12" s="74">
        <v>3.2966829999999998</v>
      </c>
      <c r="AN12" s="74">
        <v>22.444198</v>
      </c>
      <c r="AO12" s="74">
        <v>32.01296</v>
      </c>
      <c r="AP12" s="74">
        <v>35.92015</v>
      </c>
      <c r="AQ12" s="74">
        <v>21.916969999999999</v>
      </c>
      <c r="AR12" s="74">
        <v>20.745000000000001</v>
      </c>
      <c r="AS12" s="74">
        <v>42.837000000000003</v>
      </c>
      <c r="AT12" s="74">
        <v>27.885000000000002</v>
      </c>
      <c r="AU12" s="74">
        <v>0.308</v>
      </c>
      <c r="AV12" s="74">
        <v>33.917000000000002</v>
      </c>
      <c r="AW12" s="74">
        <v>9.2680000000000007</v>
      </c>
      <c r="AX12" s="74">
        <v>35.631</v>
      </c>
      <c r="AY12" s="74">
        <v>35.978980000000092</v>
      </c>
      <c r="AZ12" s="74">
        <v>83.890039999999999</v>
      </c>
      <c r="BA12" s="74">
        <v>95.18</v>
      </c>
      <c r="BB12" s="74">
        <v>22.998999999999999</v>
      </c>
      <c r="BC12" s="74">
        <v>34.350999999999999</v>
      </c>
      <c r="BD12" s="74">
        <v>102.90600000000001</v>
      </c>
      <c r="BE12" s="74">
        <v>136.727</v>
      </c>
      <c r="BF12" s="74">
        <v>93.101870000000005</v>
      </c>
      <c r="BG12" s="74">
        <v>28.535318</v>
      </c>
      <c r="BH12" s="74">
        <v>72.426829999999939</v>
      </c>
      <c r="BI12" s="74">
        <v>216.836164</v>
      </c>
      <c r="BJ12" s="74">
        <v>44.279000000000003</v>
      </c>
      <c r="BK12" s="74">
        <v>32.312512000000005</v>
      </c>
      <c r="BL12" s="74">
        <v>104.19475900000008</v>
      </c>
      <c r="BM12" s="74">
        <v>273.93118799999996</v>
      </c>
      <c r="BN12" s="74">
        <v>37.647168000000001</v>
      </c>
      <c r="BO12" s="74">
        <v>36.64645999999999</v>
      </c>
      <c r="BP12" s="74">
        <v>114.420506</v>
      </c>
      <c r="BQ12" s="74">
        <v>166.60882000000001</v>
      </c>
      <c r="BR12" s="74">
        <v>44.270839000000109</v>
      </c>
    </row>
    <row r="13" spans="1:70" x14ac:dyDescent="0.25">
      <c r="A13" s="62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</row>
    <row r="14" spans="1:70" x14ac:dyDescent="0.25">
      <c r="A14" s="62" t="s">
        <v>167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28"/>
      <c r="BH14" s="28"/>
      <c r="BI14" s="73"/>
      <c r="BJ14" s="83"/>
      <c r="BK14" s="83"/>
      <c r="BL14" s="83"/>
      <c r="BM14" s="83"/>
      <c r="BN14" s="83"/>
      <c r="BO14" s="73"/>
      <c r="BP14" s="73"/>
      <c r="BQ14" s="73"/>
    </row>
    <row r="15" spans="1:70" x14ac:dyDescent="0.25">
      <c r="A15" s="72" t="s">
        <v>168</v>
      </c>
      <c r="B15" s="57">
        <v>0</v>
      </c>
      <c r="C15" s="57">
        <v>0</v>
      </c>
      <c r="D15" s="57">
        <v>0</v>
      </c>
      <c r="E15" s="57">
        <v>22.856000000000002</v>
      </c>
      <c r="F15" s="57">
        <v>77.209000000000003</v>
      </c>
      <c r="G15" s="57">
        <v>75.805000000000007</v>
      </c>
      <c r="H15" s="57">
        <v>93.945999999999998</v>
      </c>
      <c r="I15" s="142">
        <f>SUM(AK15:AN15)</f>
        <v>129.26588100000001</v>
      </c>
      <c r="J15" s="142">
        <f>SUM(AO15:AR15)</f>
        <v>154.95600000000002</v>
      </c>
      <c r="K15" s="142">
        <f>SUM(AS15:AV15)</f>
        <v>179.43700000000001</v>
      </c>
      <c r="L15" s="142">
        <f>SUM(AW15:AZ15)</f>
        <v>200.65652599999981</v>
      </c>
      <c r="M15" s="142">
        <f>SUM(BA15:BD15)</f>
        <v>173.135133</v>
      </c>
      <c r="N15" s="142">
        <f t="shared" ref="N15:N16" si="11">SUM(BE15:BH15)</f>
        <v>334.73817400000007</v>
      </c>
      <c r="O15" s="142">
        <f>SUM(BI15:BL15)</f>
        <v>573.27104199999985</v>
      </c>
      <c r="P15" s="142">
        <f>SUM(BM15:BP15)</f>
        <v>634.94111099999975</v>
      </c>
      <c r="Q15" s="28"/>
      <c r="R15" s="143">
        <f>SUM(AK15:AM15)</f>
        <v>98.652096999999998</v>
      </c>
      <c r="S15" s="143">
        <f>SUM(AO15:AQ15)</f>
        <v>111.05000000000001</v>
      </c>
      <c r="T15" s="143">
        <f>SUM(AS15:AU15)</f>
        <v>135.23699999999999</v>
      </c>
      <c r="U15" s="143">
        <f>SUM(AW15:AY15)</f>
        <v>154.05412899999982</v>
      </c>
      <c r="V15" s="143">
        <f>SUM(BA15:BC15)</f>
        <v>130.892133</v>
      </c>
      <c r="W15" s="143">
        <f>SUM(BE15:BG15)</f>
        <v>231.1331210000001</v>
      </c>
      <c r="X15" s="143">
        <f>SUM(BI15:BK15)</f>
        <v>438.62172899999996</v>
      </c>
      <c r="Y15" s="143">
        <f>SUM(BM15:BO15)</f>
        <v>485.64775699999979</v>
      </c>
      <c r="Z15" s="28"/>
      <c r="AA15" s="143">
        <f>SUM(AK15:AL15)</f>
        <v>61.683495999999998</v>
      </c>
      <c r="AB15" s="143">
        <f>SUM(AO15:AP15)</f>
        <v>68.92</v>
      </c>
      <c r="AC15" s="143">
        <f>SUM(AS15:AT15)</f>
        <v>86.863</v>
      </c>
      <c r="AD15" s="143">
        <f>SUM(AW15:AX15)</f>
        <v>103.13499999999999</v>
      </c>
      <c r="AE15" s="143">
        <f>SUM(BA15:BB15)</f>
        <v>79.093133000000009</v>
      </c>
      <c r="AF15" s="143">
        <f t="shared" ref="AF15:AF16" si="12">SUM(BE15:BF15)</f>
        <v>136.37519900000009</v>
      </c>
      <c r="AG15" s="143">
        <f>SUM(BI15:BJ15)</f>
        <v>284.99672899999996</v>
      </c>
      <c r="AH15" s="143">
        <f>SUM(BM15:BN15)</f>
        <v>318.47960599999988</v>
      </c>
      <c r="AI15" s="143">
        <f>SUM(BQ15:BR15)</f>
        <v>341.61108600000011</v>
      </c>
      <c r="AJ15" s="73"/>
      <c r="AK15" s="74">
        <v>23.310616000000003</v>
      </c>
      <c r="AL15" s="74">
        <v>38.372879999999995</v>
      </c>
      <c r="AM15" s="74">
        <v>36.968601</v>
      </c>
      <c r="AN15" s="74">
        <v>30.613783999999999</v>
      </c>
      <c r="AO15" s="74">
        <v>28.027999999999999</v>
      </c>
      <c r="AP15" s="74">
        <v>40.892000000000003</v>
      </c>
      <c r="AQ15" s="74">
        <v>42.13</v>
      </c>
      <c r="AR15" s="74">
        <v>43.905999999999999</v>
      </c>
      <c r="AS15" s="74">
        <v>41.216999999999999</v>
      </c>
      <c r="AT15" s="74">
        <v>45.646000000000001</v>
      </c>
      <c r="AU15" s="74">
        <v>48.374000000000002</v>
      </c>
      <c r="AV15" s="74">
        <v>44.2</v>
      </c>
      <c r="AW15" s="74">
        <v>44.546999999999997</v>
      </c>
      <c r="AX15" s="74">
        <v>58.588000000000001</v>
      </c>
      <c r="AY15" s="74">
        <v>50.919128999999813</v>
      </c>
      <c r="AZ15" s="74">
        <v>46.602397000000003</v>
      </c>
      <c r="BA15" s="74">
        <v>31.437000000000001</v>
      </c>
      <c r="BB15" s="74">
        <v>47.656133000000004</v>
      </c>
      <c r="BC15" s="74">
        <v>51.798999999999999</v>
      </c>
      <c r="BD15" s="74">
        <v>42.243000000000002</v>
      </c>
      <c r="BE15" s="74">
        <v>63.354999999999997</v>
      </c>
      <c r="BF15" s="74">
        <v>73.020199000000105</v>
      </c>
      <c r="BG15" s="74">
        <v>94.757922000000008</v>
      </c>
      <c r="BH15" s="74">
        <v>103.605053</v>
      </c>
      <c r="BI15" s="74">
        <v>131.605729</v>
      </c>
      <c r="BJ15" s="74">
        <v>153.39099999999999</v>
      </c>
      <c r="BK15" s="74">
        <v>153.625</v>
      </c>
      <c r="BL15" s="74">
        <v>134.64931299999992</v>
      </c>
      <c r="BM15" s="74">
        <v>149.47213799999989</v>
      </c>
      <c r="BN15" s="74">
        <v>169.00746799999999</v>
      </c>
      <c r="BO15" s="74">
        <v>167.16815099999991</v>
      </c>
      <c r="BP15" s="74">
        <v>149.29335399999999</v>
      </c>
      <c r="BQ15" s="74">
        <v>166.75305300000002</v>
      </c>
      <c r="BR15" s="74">
        <v>174.85803300000009</v>
      </c>
    </row>
    <row r="16" spans="1:70" x14ac:dyDescent="0.25">
      <c r="A16" s="72" t="s">
        <v>169</v>
      </c>
      <c r="B16" s="57">
        <v>0</v>
      </c>
      <c r="C16" s="57">
        <v>0</v>
      </c>
      <c r="D16" s="57">
        <v>167.023</v>
      </c>
      <c r="E16" s="57">
        <v>245.161</v>
      </c>
      <c r="F16" s="57">
        <v>270.21100000000001</v>
      </c>
      <c r="G16" s="57">
        <v>230.066</v>
      </c>
      <c r="H16" s="57">
        <v>296</v>
      </c>
      <c r="I16" s="142">
        <f>SUM(AK16:AN16)</f>
        <v>416.89703833999999</v>
      </c>
      <c r="J16" s="142">
        <f>SUM(AO16:AR16)</f>
        <v>562.58019000000002</v>
      </c>
      <c r="K16" s="142">
        <f>SUM(AS16:AV16)</f>
        <v>569.76900000000001</v>
      </c>
      <c r="L16" s="142">
        <f>SUM(AW16:AZ16)</f>
        <v>572.35316499999976</v>
      </c>
      <c r="M16" s="142">
        <f>SUM(BA16:BD16)</f>
        <v>709.54711500000008</v>
      </c>
      <c r="N16" s="142">
        <f t="shared" si="11"/>
        <v>1271.4155700000001</v>
      </c>
      <c r="O16" s="142">
        <f>SUM(BI16:BL16)</f>
        <v>1777.4354746899994</v>
      </c>
      <c r="P16" s="142">
        <f>SUM(BM16:BP16)</f>
        <v>2216.3001563509997</v>
      </c>
      <c r="Q16" s="28"/>
      <c r="R16" s="143">
        <f>SUM(AK16:AM16)</f>
        <v>295.67449048000003</v>
      </c>
      <c r="S16" s="143">
        <f>SUM(AO16:AQ16)</f>
        <v>380.89118999999999</v>
      </c>
      <c r="T16" s="143">
        <f>SUM(AS16:AU16)</f>
        <v>401.19799999999998</v>
      </c>
      <c r="U16" s="143">
        <f>SUM(AW16:AY16)</f>
        <v>402.4088509999998</v>
      </c>
      <c r="V16" s="143">
        <f>SUM(BA16:BC16)</f>
        <v>485.64511500000003</v>
      </c>
      <c r="W16" s="143">
        <f>SUM(BE16:BG16)</f>
        <v>771.93384227999991</v>
      </c>
      <c r="X16" s="143">
        <f>SUM(BI16:BK16)</f>
        <v>1357.35211069</v>
      </c>
      <c r="Y16" s="143">
        <f>SUM(BM16:BO16)</f>
        <v>1703.7682213509997</v>
      </c>
      <c r="Z16" s="28"/>
      <c r="AA16" s="143">
        <f>SUM(AK16:AL16)</f>
        <v>177.69614764000002</v>
      </c>
      <c r="AB16" s="143">
        <f>SUM(AO16:AP16)</f>
        <v>214.42719</v>
      </c>
      <c r="AC16" s="143">
        <f>SUM(AS16:AT16)</f>
        <v>248.51300000000001</v>
      </c>
      <c r="AD16" s="143">
        <f>SUM(AW16:AX16)</f>
        <v>224.56</v>
      </c>
      <c r="AE16" s="143">
        <f>SUM(BA16:BB16)</f>
        <v>313.502115</v>
      </c>
      <c r="AF16" s="143">
        <f t="shared" si="12"/>
        <v>410.36276627999996</v>
      </c>
      <c r="AG16" s="143">
        <f>SUM(BI16:BJ16)</f>
        <v>879.93411069000001</v>
      </c>
      <c r="AH16" s="143">
        <f>SUM(BM16:BN16)</f>
        <v>944.71623535100002</v>
      </c>
      <c r="AI16" s="143">
        <f>SUM(BQ16:BR16)</f>
        <v>1163.8288703100006</v>
      </c>
      <c r="AJ16" s="73"/>
      <c r="AK16" s="74">
        <v>66.183423450000006</v>
      </c>
      <c r="AL16" s="74">
        <v>111.51272419000001</v>
      </c>
      <c r="AM16" s="74">
        <v>117.97834284000001</v>
      </c>
      <c r="AN16" s="74">
        <v>121.22254785999999</v>
      </c>
      <c r="AO16" s="74">
        <v>66.983190000000008</v>
      </c>
      <c r="AP16" s="74">
        <v>147.44399999999999</v>
      </c>
      <c r="AQ16" s="74">
        <v>166.464</v>
      </c>
      <c r="AR16" s="74">
        <v>181.68899999999999</v>
      </c>
      <c r="AS16" s="74">
        <v>93.38</v>
      </c>
      <c r="AT16" s="74">
        <v>155.13300000000001</v>
      </c>
      <c r="AU16" s="74">
        <v>152.685</v>
      </c>
      <c r="AV16" s="74">
        <v>168.571</v>
      </c>
      <c r="AW16" s="74">
        <v>71.22</v>
      </c>
      <c r="AX16" s="74">
        <v>153.34</v>
      </c>
      <c r="AY16" s="74">
        <v>177.84885099999983</v>
      </c>
      <c r="AZ16" s="74">
        <v>169.94431399999999</v>
      </c>
      <c r="BA16" s="74">
        <v>137.42099999999999</v>
      </c>
      <c r="BB16" s="74">
        <v>176.08111499999998</v>
      </c>
      <c r="BC16" s="74">
        <v>172.143</v>
      </c>
      <c r="BD16" s="74">
        <v>223.90199999999999</v>
      </c>
      <c r="BE16" s="74">
        <v>199.315</v>
      </c>
      <c r="BF16" s="74">
        <v>211.04776627999999</v>
      </c>
      <c r="BG16" s="74">
        <v>361.57107599999995</v>
      </c>
      <c r="BH16" s="74">
        <v>499.48172772000032</v>
      </c>
      <c r="BI16" s="74">
        <v>421.93711069</v>
      </c>
      <c r="BJ16" s="74">
        <v>457.99700000000001</v>
      </c>
      <c r="BK16" s="74">
        <v>477.41800000000001</v>
      </c>
      <c r="BL16" s="74">
        <v>420.08336399999951</v>
      </c>
      <c r="BM16" s="74">
        <v>439.02326641600007</v>
      </c>
      <c r="BN16" s="74">
        <v>505.69296893500001</v>
      </c>
      <c r="BO16" s="74">
        <v>759.05198599999983</v>
      </c>
      <c r="BP16" s="74">
        <v>512.53193499999998</v>
      </c>
      <c r="BQ16" s="74">
        <v>543.12926862000018</v>
      </c>
      <c r="BR16" s="74">
        <v>620.69960169000046</v>
      </c>
    </row>
    <row r="17" spans="1:70" x14ac:dyDescent="0.25">
      <c r="A17" s="72" t="s">
        <v>345</v>
      </c>
      <c r="B17" s="57"/>
      <c r="C17" s="57"/>
      <c r="D17" s="57"/>
      <c r="E17" s="57"/>
      <c r="F17" s="57"/>
      <c r="G17" s="57"/>
      <c r="H17" s="57"/>
      <c r="I17" s="142"/>
      <c r="J17" s="142"/>
      <c r="K17" s="142"/>
      <c r="L17" s="142"/>
      <c r="M17" s="142"/>
      <c r="N17" s="142"/>
      <c r="O17" s="142"/>
      <c r="P17" s="142"/>
      <c r="Q17" s="28"/>
      <c r="R17" s="143"/>
      <c r="S17" s="143"/>
      <c r="T17" s="143"/>
      <c r="U17" s="143"/>
      <c r="V17" s="143"/>
      <c r="W17" s="143"/>
      <c r="X17" s="143"/>
      <c r="Y17" s="143"/>
      <c r="Z17" s="28"/>
      <c r="AA17" s="143"/>
      <c r="AB17" s="143"/>
      <c r="AC17" s="143"/>
      <c r="AD17" s="143"/>
      <c r="AE17" s="143"/>
      <c r="AF17" s="143"/>
      <c r="AG17" s="143"/>
      <c r="AH17" s="143"/>
      <c r="AI17" s="143">
        <f t="shared" ref="AI17:AI18" si="13">SUM(BQ17:BR17)</f>
        <v>2.2273080000000003</v>
      </c>
      <c r="AJ17" s="73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>
        <v>2.2273080000000003</v>
      </c>
    </row>
    <row r="18" spans="1:70" x14ac:dyDescent="0.25">
      <c r="A18" s="72" t="s">
        <v>346</v>
      </c>
      <c r="B18" s="57"/>
      <c r="C18" s="57"/>
      <c r="D18" s="57"/>
      <c r="E18" s="57"/>
      <c r="F18" s="57"/>
      <c r="G18" s="57"/>
      <c r="H18" s="57"/>
      <c r="I18" s="142"/>
      <c r="J18" s="142"/>
      <c r="K18" s="142"/>
      <c r="L18" s="142"/>
      <c r="M18" s="142"/>
      <c r="N18" s="142"/>
      <c r="O18" s="142"/>
      <c r="P18" s="142"/>
      <c r="Q18" s="28"/>
      <c r="R18" s="143"/>
      <c r="S18" s="143"/>
      <c r="T18" s="143"/>
      <c r="U18" s="143"/>
      <c r="V18" s="143"/>
      <c r="W18" s="143"/>
      <c r="X18" s="143"/>
      <c r="Y18" s="143"/>
      <c r="Z18" s="28"/>
      <c r="AA18" s="143"/>
      <c r="AB18" s="143"/>
      <c r="AC18" s="143"/>
      <c r="AD18" s="143"/>
      <c r="AE18" s="143"/>
      <c r="AF18" s="143"/>
      <c r="AG18" s="143"/>
      <c r="AH18" s="143"/>
      <c r="AI18" s="143">
        <f t="shared" si="13"/>
        <v>4.89358</v>
      </c>
      <c r="AJ18" s="73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>
        <v>4.89358</v>
      </c>
    </row>
    <row r="19" spans="1:70" x14ac:dyDescent="0.25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7"/>
      <c r="L19" s="77"/>
      <c r="M19" s="77"/>
      <c r="N19" s="165"/>
      <c r="O19" s="165"/>
      <c r="P19" s="165"/>
    </row>
    <row r="20" spans="1:70" x14ac:dyDescent="0.25">
      <c r="A20" s="66" t="s">
        <v>170</v>
      </c>
      <c r="B20" s="70">
        <f t="shared" ref="B20:H20" si="14">SUM(B23,B28,B33)</f>
        <v>391.714</v>
      </c>
      <c r="C20" s="70">
        <f t="shared" si="14"/>
        <v>480.98099999999999</v>
      </c>
      <c r="D20" s="70">
        <f t="shared" si="14"/>
        <v>901.69200000000001</v>
      </c>
      <c r="E20" s="70">
        <f t="shared" si="14"/>
        <v>917.30200000000002</v>
      </c>
      <c r="F20" s="70">
        <f t="shared" si="14"/>
        <v>1113.7380000000001</v>
      </c>
      <c r="G20" s="70">
        <f t="shared" si="14"/>
        <v>1140.1019999999999</v>
      </c>
      <c r="H20" s="70">
        <f t="shared" si="14"/>
        <v>1326.0972490200002</v>
      </c>
      <c r="I20" s="70">
        <f>SUM(AK20:AN20)</f>
        <v>1921.5709900000002</v>
      </c>
      <c r="J20" s="70">
        <f>SUM(AO20:AR20)</f>
        <v>2239.5709999999999</v>
      </c>
      <c r="K20" s="70">
        <f>SUM(AS20:AV20)</f>
        <v>3110.4080992899999</v>
      </c>
      <c r="L20" s="70">
        <f>SUM(AW20:AZ20)</f>
        <v>5339.3171000000002</v>
      </c>
      <c r="M20" s="70">
        <f>SUM(BA20:BD20)</f>
        <v>6885.8393361300004</v>
      </c>
      <c r="N20" s="70">
        <f>SUM(BE20:BH20)</f>
        <v>8998.9848835725734</v>
      </c>
      <c r="O20" s="70">
        <f>SUM(BI20:BL20)</f>
        <v>12825.77130673323</v>
      </c>
      <c r="P20" s="70">
        <f>SUM(BM20:BP20)</f>
        <v>16423.694065070064</v>
      </c>
      <c r="Q20" s="64"/>
      <c r="R20" s="70">
        <f>SUM(AK20:AM20)</f>
        <v>1334.0383900000002</v>
      </c>
      <c r="S20" s="70">
        <f>SUM(AO20:AQ20)</f>
        <v>1553.0682900000002</v>
      </c>
      <c r="T20" s="70">
        <f>SUM(AS20:AU20)</f>
        <v>2102.3636341800002</v>
      </c>
      <c r="U20" s="70">
        <f>SUM(AW20:AY20)</f>
        <v>3704.1980000000003</v>
      </c>
      <c r="V20" s="70">
        <f>SUM(AX20:AZ20)</f>
        <v>4570.0441000000001</v>
      </c>
      <c r="W20" s="70">
        <f>SUM(BE20:BG20)</f>
        <v>5969.3946703144311</v>
      </c>
      <c r="X20" s="70">
        <f>SUM(BI20:BK20)</f>
        <v>8972.2513155019478</v>
      </c>
      <c r="Y20" s="70">
        <f>SUM(BM20:BO20)</f>
        <v>12056.864065070062</v>
      </c>
      <c r="Z20" s="64"/>
      <c r="AA20" s="70">
        <f>SUM(AK20:AL20)</f>
        <v>803.83329000000003</v>
      </c>
      <c r="AB20" s="70">
        <f>SUM(AO20:AP20)</f>
        <v>960.71080000000006</v>
      </c>
      <c r="AC20" s="70">
        <f>SUM(AS20:AT20)</f>
        <v>1254.3306743099999</v>
      </c>
      <c r="AD20" s="70">
        <f>SUM(AW20:AX20)</f>
        <v>1974.6530000000002</v>
      </c>
      <c r="AE20" s="70">
        <f>SUM(BA20:BB20)</f>
        <v>2770.5383361300001</v>
      </c>
      <c r="AF20" s="70">
        <f>SUM(BE20:BF20)</f>
        <v>3565.05455446</v>
      </c>
      <c r="AG20" s="70">
        <f>SUM(BI20:BJ20)</f>
        <v>5475.6913790981725</v>
      </c>
      <c r="AH20" s="70">
        <f>SUM(BM20:BN20)</f>
        <v>7061.985065070061</v>
      </c>
      <c r="AI20" s="70">
        <f>SUM(BQ20:BR20)</f>
        <v>8907.3475525164613</v>
      </c>
      <c r="AK20" s="70">
        <f>AK23+AK28+AK33</f>
        <v>334.63524000000001</v>
      </c>
      <c r="AL20" s="70">
        <f t="shared" ref="AL20:AY20" si="15">AL23+AL28+AL33</f>
        <v>469.19805000000002</v>
      </c>
      <c r="AM20" s="70">
        <f t="shared" si="15"/>
        <v>530.20510000000002</v>
      </c>
      <c r="AN20" s="70">
        <f t="shared" si="15"/>
        <v>587.5326</v>
      </c>
      <c r="AO20" s="70">
        <f t="shared" si="15"/>
        <v>448.70648</v>
      </c>
      <c r="AP20" s="70">
        <f t="shared" si="15"/>
        <v>512.00432000000001</v>
      </c>
      <c r="AQ20" s="70">
        <f t="shared" si="15"/>
        <v>592.3574900000001</v>
      </c>
      <c r="AR20" s="70">
        <f t="shared" si="15"/>
        <v>686.50270999999998</v>
      </c>
      <c r="AS20" s="70">
        <f t="shared" si="15"/>
        <v>513.86455943999999</v>
      </c>
      <c r="AT20" s="70">
        <f t="shared" si="15"/>
        <v>740.46611486999996</v>
      </c>
      <c r="AU20" s="70">
        <f t="shared" si="15"/>
        <v>848.03295987000001</v>
      </c>
      <c r="AV20" s="70">
        <f t="shared" si="15"/>
        <v>1008.0444651099998</v>
      </c>
      <c r="AW20" s="70">
        <f t="shared" si="15"/>
        <v>769.27300000000002</v>
      </c>
      <c r="AX20" s="70">
        <f t="shared" si="15"/>
        <v>1205.3800000000001</v>
      </c>
      <c r="AY20" s="70">
        <f t="shared" si="15"/>
        <v>1729.5450000000001</v>
      </c>
      <c r="AZ20" s="70">
        <f t="shared" ref="AZ20:BD20" si="16">AZ23+AZ28+AZ33</f>
        <v>1635.1191000000001</v>
      </c>
      <c r="BA20" s="70">
        <f t="shared" si="16"/>
        <v>1273.2350000000001</v>
      </c>
      <c r="BB20" s="70">
        <f t="shared" si="16"/>
        <v>1497.3033361299999</v>
      </c>
      <c r="BC20" s="70">
        <f t="shared" si="16"/>
        <v>1958.9120000000003</v>
      </c>
      <c r="BD20" s="70">
        <f t="shared" si="16"/>
        <v>2156.3890000000001</v>
      </c>
      <c r="BE20" s="70">
        <f>BE23+BE28+BE33</f>
        <v>1804.6959999999999</v>
      </c>
      <c r="BF20" s="70">
        <f>BF23+BF28+BF33</f>
        <v>1760.3585544599998</v>
      </c>
      <c r="BG20" s="70">
        <f>BG23+BG28+BG33</f>
        <v>2404.3401158544311</v>
      </c>
      <c r="BH20" s="70">
        <f>BH23+BH28+BH33</f>
        <v>3029.5902132581423</v>
      </c>
      <c r="BI20" s="70">
        <f>BI23+BI28+BI33</f>
        <v>2679.222379098173</v>
      </c>
      <c r="BJ20" s="89">
        <f>SUM(BJ23,BJ28,BJ33)</f>
        <v>2796.4690000000001</v>
      </c>
      <c r="BK20" s="89">
        <f>SUM(BK23,BK28,BK33)</f>
        <v>3496.5599364037757</v>
      </c>
      <c r="BL20" s="89">
        <f>SUM(BL23,BL28,BL33)</f>
        <v>3853.5199912312828</v>
      </c>
      <c r="BM20" s="89">
        <f>SUM(BM23,BM28,BM33)</f>
        <v>3499.1080580353196</v>
      </c>
      <c r="BN20" s="141">
        <f t="shared" ref="BN20:BP20" si="17">SUM(BN23,BN28,BN33)</f>
        <v>3562.8770070347409</v>
      </c>
      <c r="BO20" s="141">
        <f t="shared" si="17"/>
        <v>4994.8790000000008</v>
      </c>
      <c r="BP20" s="141">
        <f t="shared" si="17"/>
        <v>4366.83</v>
      </c>
      <c r="BQ20" s="141">
        <f t="shared" ref="BQ20" si="18">SUM(BQ23,BQ28,BQ33)</f>
        <v>4206.9481885862824</v>
      </c>
      <c r="BR20" s="141">
        <f>SUM(BR23,BR28,BR33)</f>
        <v>4700.3993639301789</v>
      </c>
    </row>
    <row r="21" spans="1:70" x14ac:dyDescent="0.25">
      <c r="A21" s="78" t="s">
        <v>171</v>
      </c>
      <c r="C21" s="79">
        <f>C20/B20-1</f>
        <v>0.22788820414894539</v>
      </c>
      <c r="D21" s="79">
        <f>D20/C20-1</f>
        <v>0.87469359496528964</v>
      </c>
      <c r="E21" s="79">
        <f t="shared" ref="E21:M21" si="19">E20/D20-1</f>
        <v>1.7311898076061372E-2</v>
      </c>
      <c r="F21" s="79">
        <f t="shared" si="19"/>
        <v>0.21414539595465842</v>
      </c>
      <c r="G21" s="79">
        <f t="shared" si="19"/>
        <v>2.3671635519305179E-2</v>
      </c>
      <c r="H21" s="79">
        <f t="shared" si="19"/>
        <v>0.16313913055147733</v>
      </c>
      <c r="I21" s="79">
        <f t="shared" si="19"/>
        <v>0.44904228661967394</v>
      </c>
      <c r="J21" s="79">
        <f t="shared" si="19"/>
        <v>0.16548959765467708</v>
      </c>
      <c r="K21" s="79">
        <f t="shared" si="19"/>
        <v>0.38884103218428878</v>
      </c>
      <c r="L21" s="79">
        <f t="shared" si="19"/>
        <v>0.71659696398642492</v>
      </c>
      <c r="M21" s="79">
        <f t="shared" si="19"/>
        <v>0.28964794694999485</v>
      </c>
      <c r="N21" s="79">
        <f>N20/M20-1</f>
        <v>0.30688278426057636</v>
      </c>
      <c r="O21" s="79">
        <f>O20/N20-1</f>
        <v>0.42524645531368344</v>
      </c>
      <c r="P21" s="79">
        <f>P20/O20-1</f>
        <v>0.28052291533126028</v>
      </c>
      <c r="S21" s="79">
        <f>S20/R20-1</f>
        <v>0.16418560488352951</v>
      </c>
      <c r="T21" s="79">
        <f>T20/S20-1</f>
        <v>0.35368396078706876</v>
      </c>
      <c r="U21" s="79">
        <f>U20/T20-1</f>
        <v>0.76192069715131594</v>
      </c>
      <c r="V21" s="79">
        <f>V20/U20-1</f>
        <v>0.23374725109186922</v>
      </c>
      <c r="W21" s="79">
        <f>W20/V20-1</f>
        <v>0.30620067108639737</v>
      </c>
      <c r="X21" s="79">
        <f t="shared" ref="X21:Y21" si="20">X20/W20-1</f>
        <v>0.50304206892544845</v>
      </c>
      <c r="Y21" s="79">
        <f t="shared" si="20"/>
        <v>0.34379473346211631</v>
      </c>
      <c r="AB21" s="79">
        <f t="shared" ref="AB21:AG21" si="21">AB20/AA20-1</f>
        <v>0.19516174802862429</v>
      </c>
      <c r="AC21" s="79">
        <f t="shared" si="21"/>
        <v>0.30562774386423031</v>
      </c>
      <c r="AD21" s="79">
        <f t="shared" si="21"/>
        <v>0.57426828542341557</v>
      </c>
      <c r="AE21" s="79">
        <f t="shared" si="21"/>
        <v>0.40305073151080206</v>
      </c>
      <c r="AF21" s="79">
        <f t="shared" si="21"/>
        <v>0.28677322669348526</v>
      </c>
      <c r="AG21" s="79">
        <f t="shared" si="21"/>
        <v>0.53593480701379548</v>
      </c>
      <c r="AH21" s="79">
        <f>AH20/AG20-1</f>
        <v>0.28969742378598884</v>
      </c>
      <c r="AI21" s="79">
        <f>AI20/AH20-1</f>
        <v>0.2613093160694886</v>
      </c>
      <c r="AO21" s="79">
        <f>AO20/AK20-1</f>
        <v>0.34088232906970584</v>
      </c>
      <c r="AP21" s="79">
        <f t="shared" ref="AP21:BD21" si="22">AP20/AL20-1</f>
        <v>9.1232838670152194E-2</v>
      </c>
      <c r="AQ21" s="79">
        <f t="shared" si="22"/>
        <v>0.11722329717311286</v>
      </c>
      <c r="AR21" s="79">
        <f t="shared" si="22"/>
        <v>0.16845041449614873</v>
      </c>
      <c r="AS21" s="79">
        <f t="shared" si="22"/>
        <v>0.14521314566261667</v>
      </c>
      <c r="AT21" s="79">
        <f t="shared" si="22"/>
        <v>0.44621067820287141</v>
      </c>
      <c r="AU21" s="79">
        <f t="shared" si="22"/>
        <v>0.43162359586269416</v>
      </c>
      <c r="AV21" s="79">
        <f t="shared" si="22"/>
        <v>0.46837652703512256</v>
      </c>
      <c r="AW21" s="79">
        <f t="shared" si="22"/>
        <v>0.49703455096872107</v>
      </c>
      <c r="AX21" s="79">
        <f t="shared" si="22"/>
        <v>0.6278665232528875</v>
      </c>
      <c r="AY21" s="79">
        <f t="shared" si="22"/>
        <v>1.0394785130346023</v>
      </c>
      <c r="AZ21" s="79">
        <f t="shared" si="22"/>
        <v>0.62207041117136908</v>
      </c>
      <c r="BA21" s="79">
        <f t="shared" si="22"/>
        <v>0.65511463420658211</v>
      </c>
      <c r="BB21" s="79">
        <f t="shared" si="22"/>
        <v>0.24218365671406517</v>
      </c>
      <c r="BC21" s="79">
        <f t="shared" si="22"/>
        <v>0.13261695995189493</v>
      </c>
      <c r="BD21" s="79">
        <f t="shared" si="22"/>
        <v>0.3187962882948403</v>
      </c>
      <c r="BE21" s="79">
        <f t="shared" ref="BE21:BJ21" si="23">BE20/BA20-1</f>
        <v>0.4174099832316891</v>
      </c>
      <c r="BF21" s="79">
        <f t="shared" si="23"/>
        <v>0.17568598959373505</v>
      </c>
      <c r="BG21" s="79">
        <f t="shared" si="23"/>
        <v>0.2273854649185012</v>
      </c>
      <c r="BH21" s="79">
        <f t="shared" si="23"/>
        <v>0.40493677776047932</v>
      </c>
      <c r="BI21" s="79">
        <f t="shared" si="23"/>
        <v>0.48458376319234553</v>
      </c>
      <c r="BJ21" s="79">
        <f t="shared" si="23"/>
        <v>0.58857920899974436</v>
      </c>
      <c r="BK21" s="79">
        <f t="shared" ref="BK21:BR21" si="24">BK20/BG20-1</f>
        <v>0.45427009820580322</v>
      </c>
      <c r="BL21" s="79">
        <f t="shared" si="24"/>
        <v>0.27196079996807665</v>
      </c>
      <c r="BM21" s="79">
        <f t="shared" si="24"/>
        <v>0.30601628492410571</v>
      </c>
      <c r="BN21" s="79">
        <f t="shared" si="24"/>
        <v>0.27406275808340474</v>
      </c>
      <c r="BO21" s="79">
        <f t="shared" si="24"/>
        <v>0.42851233522318832</v>
      </c>
      <c r="BP21" s="79">
        <f t="shared" si="24"/>
        <v>0.13320548743402361</v>
      </c>
      <c r="BQ21" s="79">
        <f t="shared" si="24"/>
        <v>0.20229158940247216</v>
      </c>
      <c r="BR21" s="79">
        <f t="shared" si="24"/>
        <v>0.31927073391796879</v>
      </c>
    </row>
    <row r="22" spans="1:70" ht="2.1" customHeight="1" x14ac:dyDescent="0.25">
      <c r="A22" s="78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</row>
    <row r="23" spans="1:70" x14ac:dyDescent="0.25">
      <c r="A23" s="62" t="s">
        <v>160</v>
      </c>
      <c r="B23" s="18">
        <f t="shared" ref="B23:H23" si="25">SUM(B24:B26)</f>
        <v>110.78952528046443</v>
      </c>
      <c r="C23" s="18">
        <f t="shared" si="25"/>
        <v>156.03320028082791</v>
      </c>
      <c r="D23" s="18">
        <f t="shared" si="25"/>
        <v>237.16046622631521</v>
      </c>
      <c r="E23" s="18">
        <f t="shared" si="25"/>
        <v>288.51724319800456</v>
      </c>
      <c r="F23" s="18">
        <f t="shared" si="25"/>
        <v>283.80099999999999</v>
      </c>
      <c r="G23" s="18">
        <f t="shared" si="25"/>
        <v>371.49599999999998</v>
      </c>
      <c r="H23" s="18">
        <f t="shared" si="25"/>
        <v>416.32348943</v>
      </c>
      <c r="I23" s="18">
        <f>SUM(AK23:AN23)</f>
        <v>611.80498999999998</v>
      </c>
      <c r="J23" s="18">
        <f>SUM(AO23:AR23)</f>
        <v>722.375</v>
      </c>
      <c r="K23" s="18">
        <f>SUM(AS23:AV23)</f>
        <v>918.30234140999983</v>
      </c>
      <c r="L23" s="18">
        <f>SUM(AW23:AZ23)</f>
        <v>1534.1161000000002</v>
      </c>
      <c r="M23" s="18">
        <f>SUM(BA23:BD23)</f>
        <v>2535.3969999999999</v>
      </c>
      <c r="N23" s="18">
        <f>SUM(BE23:BH23)</f>
        <v>2543.5493381800002</v>
      </c>
      <c r="O23" s="18">
        <f t="shared" ref="O23" si="26">SUM(BI23:BL23)</f>
        <v>2819.5838466599998</v>
      </c>
      <c r="P23" s="18">
        <f>SUM(BM23:BP23)</f>
        <v>3409.64045257</v>
      </c>
      <c r="Q23" s="81"/>
      <c r="R23" s="80">
        <f>SUM(AK23:AM23)</f>
        <v>331.99250000000001</v>
      </c>
      <c r="S23" s="80">
        <f>SUM(AO23:AQ23)</f>
        <v>444.04529000000002</v>
      </c>
      <c r="T23" s="80">
        <f>SUM(AS23:AU23)</f>
        <v>564.92193213999997</v>
      </c>
      <c r="U23" s="80">
        <f>SUM(AW23:AY23)</f>
        <v>894.93100000000004</v>
      </c>
      <c r="V23" s="80">
        <f>SUM(BA23:BC23)</f>
        <v>1503.7829999999999</v>
      </c>
      <c r="W23" s="80">
        <f>SUM(BE23:BG23)</f>
        <v>1518.89635327</v>
      </c>
      <c r="X23" s="80">
        <f>SUM(BI23:BK23)</f>
        <v>1595.2883704199999</v>
      </c>
      <c r="Y23" s="80">
        <f>SUM(BM23:BO23)</f>
        <v>2097.4634525700003</v>
      </c>
      <c r="Z23" s="81"/>
      <c r="AA23" s="80">
        <f>SUM(AK23:AL23)</f>
        <v>181.90602000000001</v>
      </c>
      <c r="AB23" s="80">
        <f>SUM(AO23:AP23)</f>
        <v>244.03005999999999</v>
      </c>
      <c r="AC23" s="80">
        <f>SUM(AS23:AT23)</f>
        <v>263.65153299999997</v>
      </c>
      <c r="AD23" s="80">
        <f>SUM(AW23:AX23)</f>
        <v>450.81000000000006</v>
      </c>
      <c r="AE23" s="80">
        <f>SUM(BA23:BB23)</f>
        <v>737.846</v>
      </c>
      <c r="AF23" s="80">
        <f>SUM(BE23:BF23)</f>
        <v>784.78484166999988</v>
      </c>
      <c r="AG23" s="28">
        <f>SUM(BI23:BJ23)</f>
        <v>837.81037042000003</v>
      </c>
      <c r="AH23" s="28">
        <f>SUM(BM23:BN23)</f>
        <v>1017.6234525700002</v>
      </c>
      <c r="AI23" s="28">
        <f>SUM(BQ23:BR23)</f>
        <v>1313.9370022199996</v>
      </c>
      <c r="AJ23" s="81"/>
      <c r="AK23" s="80">
        <f>SUM(AK24:AK26)</f>
        <v>148.98748000000001</v>
      </c>
      <c r="AL23" s="80">
        <f t="shared" ref="AL23:BG23" si="27">SUM(AL24:AL26)</f>
        <v>32.91854</v>
      </c>
      <c r="AM23" s="80">
        <f t="shared" si="27"/>
        <v>150.08647999999999</v>
      </c>
      <c r="AN23" s="80">
        <f t="shared" si="27"/>
        <v>279.81248999999997</v>
      </c>
      <c r="AO23" s="80">
        <f t="shared" si="27"/>
        <v>190.48421999999999</v>
      </c>
      <c r="AP23" s="80">
        <f t="shared" si="27"/>
        <v>53.545839999999998</v>
      </c>
      <c r="AQ23" s="80">
        <f t="shared" si="27"/>
        <v>200.01523</v>
      </c>
      <c r="AR23" s="80">
        <f t="shared" si="27"/>
        <v>278.32970999999998</v>
      </c>
      <c r="AS23" s="80">
        <f t="shared" si="27"/>
        <v>202.00506432999998</v>
      </c>
      <c r="AT23" s="80">
        <f t="shared" si="27"/>
        <v>61.646468670000004</v>
      </c>
      <c r="AU23" s="80">
        <f t="shared" si="27"/>
        <v>301.27039913999999</v>
      </c>
      <c r="AV23" s="80">
        <f t="shared" si="27"/>
        <v>353.38040926999986</v>
      </c>
      <c r="AW23" s="80">
        <f t="shared" si="27"/>
        <v>291.47000000000003</v>
      </c>
      <c r="AX23" s="80">
        <f t="shared" si="27"/>
        <v>159.34</v>
      </c>
      <c r="AY23" s="80">
        <f t="shared" si="27"/>
        <v>444.12099999999998</v>
      </c>
      <c r="AZ23" s="80">
        <f t="shared" si="27"/>
        <v>639.18510000000003</v>
      </c>
      <c r="BA23" s="80">
        <f t="shared" si="27"/>
        <v>373.78999999999996</v>
      </c>
      <c r="BB23" s="80">
        <f t="shared" si="27"/>
        <v>364.05600000000004</v>
      </c>
      <c r="BC23" s="80">
        <f t="shared" si="27"/>
        <v>765.93700000000001</v>
      </c>
      <c r="BD23" s="80">
        <f t="shared" si="27"/>
        <v>1031.614</v>
      </c>
      <c r="BE23" s="80">
        <f t="shared" si="27"/>
        <v>444.06899999999996</v>
      </c>
      <c r="BF23" s="80">
        <f t="shared" si="27"/>
        <v>340.71584166999997</v>
      </c>
      <c r="BG23" s="80">
        <f t="shared" si="27"/>
        <v>734.11151160000009</v>
      </c>
      <c r="BH23" s="80">
        <f t="shared" ref="BH23:BK23" si="28">SUM(BH24:BH26)</f>
        <v>1024.6529849100002</v>
      </c>
      <c r="BI23" s="80">
        <f t="shared" si="28"/>
        <v>601.26037042000007</v>
      </c>
      <c r="BJ23" s="80">
        <f t="shared" si="28"/>
        <v>236.54999999999998</v>
      </c>
      <c r="BK23" s="18">
        <f t="shared" si="28"/>
        <v>757.47799999999995</v>
      </c>
      <c r="BL23" s="18">
        <f t="shared" ref="BL23" si="29">SUM(BL24:BL26)</f>
        <v>1224.29547624</v>
      </c>
      <c r="BM23" s="18">
        <f t="shared" ref="BM23:BP23" si="30">SUM(BM24:BM26)</f>
        <v>626.54095852000012</v>
      </c>
      <c r="BN23" s="18">
        <f t="shared" si="30"/>
        <v>391.08249405000004</v>
      </c>
      <c r="BO23" s="18">
        <f t="shared" si="30"/>
        <v>1079.8400000000001</v>
      </c>
      <c r="BP23" s="18">
        <f t="shared" si="30"/>
        <v>1312.1769999999999</v>
      </c>
      <c r="BQ23" s="18">
        <f>SUM(BQ24:BQ26)</f>
        <v>826.60718268999972</v>
      </c>
      <c r="BR23" s="18">
        <f t="shared" ref="BR23" si="31">SUM(BR24:BR26)</f>
        <v>487.32981953000001</v>
      </c>
    </row>
    <row r="24" spans="1:70" x14ac:dyDescent="0.25">
      <c r="A24" s="72" t="s">
        <v>172</v>
      </c>
      <c r="B24" s="57">
        <v>20.230974636104975</v>
      </c>
      <c r="C24" s="57">
        <v>29.22744404492617</v>
      </c>
      <c r="D24" s="57">
        <v>50.992408112332086</v>
      </c>
      <c r="E24" s="57">
        <v>59.4916461380949</v>
      </c>
      <c r="F24" s="57">
        <v>57.087000000000003</v>
      </c>
      <c r="G24" s="57">
        <v>87.540999999999997</v>
      </c>
      <c r="H24" s="57">
        <v>95.739436429999998</v>
      </c>
      <c r="I24" s="142">
        <f>SUM(AK24:AN24)</f>
        <v>97.775000000000006</v>
      </c>
      <c r="J24" s="142">
        <f>SUM(AO24:AR24)</f>
        <v>91.313000000000002</v>
      </c>
      <c r="K24" s="142">
        <f>SUM(AS24:AV24)</f>
        <v>114.89995094</v>
      </c>
      <c r="L24" s="142">
        <f>SUM(AW24:AZ24)</f>
        <v>159.85599999999999</v>
      </c>
      <c r="M24" s="142">
        <f>SUM(BA24:BD24)</f>
        <v>264.08100000000002</v>
      </c>
      <c r="N24" s="142">
        <f t="shared" ref="N24:N26" si="32">SUM(BE24:BH24)</f>
        <v>346.36885882000001</v>
      </c>
      <c r="O24" s="142">
        <f>SUM(BI24:BL24)</f>
        <v>326.42578191000001</v>
      </c>
      <c r="P24" s="142">
        <f>SUM(BM24:BP24)</f>
        <v>386.34381605999999</v>
      </c>
      <c r="Q24" s="81"/>
      <c r="R24" s="144">
        <f t="shared" ref="R24:R35" si="33">SUM(AK24:AM24)</f>
        <v>25.826760000000004</v>
      </c>
      <c r="S24" s="144">
        <f t="shared" ref="S24:S35" si="34">SUM(AO24:AQ24)</f>
        <v>36.593110000000003</v>
      </c>
      <c r="T24" s="144">
        <f t="shared" ref="T24:T35" si="35">SUM(AS24:AU24)</f>
        <v>57.317565119999998</v>
      </c>
      <c r="U24" s="144">
        <f t="shared" ref="U24:U35" si="36">SUM(AW24:AY24)</f>
        <v>69.097999999999999</v>
      </c>
      <c r="V24" s="144">
        <f>SUM(BA24:BC24)</f>
        <v>114.342</v>
      </c>
      <c r="W24" s="144">
        <f>SUM(BE24:BG24)</f>
        <v>152.31478486</v>
      </c>
      <c r="X24" s="144">
        <f>SUM(BI24:BK24)</f>
        <v>137.56337676000001</v>
      </c>
      <c r="Y24" s="144">
        <f>SUM(BM24:BO24)</f>
        <v>210.32981605999998</v>
      </c>
      <c r="Z24" s="81"/>
      <c r="AA24" s="144">
        <f t="shared" ref="AA24:AA35" si="37">SUM(AK24:AL24)</f>
        <v>1.1908600000000003</v>
      </c>
      <c r="AB24" s="144">
        <f t="shared" ref="AB24:AB35" si="38">SUM(AO24:AP24)</f>
        <v>5.3268899999999997</v>
      </c>
      <c r="AC24" s="144">
        <f t="shared" ref="AC24:AC35" si="39">SUM(AS24:AT24)</f>
        <v>6.3535651200000007</v>
      </c>
      <c r="AD24" s="144">
        <f t="shared" ref="AD24:AD35" si="40">SUM(AW24:AX24)</f>
        <v>23.5</v>
      </c>
      <c r="AE24" s="144">
        <f t="shared" ref="AE24:AE26" si="41">SUM(BA24:BB24)</f>
        <v>36.600999999999999</v>
      </c>
      <c r="AF24" s="144">
        <f>SUM(BE24:BF24)</f>
        <v>52.281858819999997</v>
      </c>
      <c r="AG24" s="143">
        <f>SUM(BI24:BJ24)</f>
        <v>50.741376760000001</v>
      </c>
      <c r="AH24" s="143">
        <f>SUM(BM24:BN24)</f>
        <v>61.085816059999999</v>
      </c>
      <c r="AI24" s="143">
        <f t="shared" ref="AI24" si="42">SUM(BQ24:BR24)</f>
        <v>107.13923693000001</v>
      </c>
      <c r="AJ24" s="81"/>
      <c r="AK24" s="57">
        <v>-0.63178999999999996</v>
      </c>
      <c r="AL24" s="57">
        <v>1.8226500000000001</v>
      </c>
      <c r="AM24" s="57">
        <v>24.635900000000003</v>
      </c>
      <c r="AN24" s="57">
        <v>71.948239999999998</v>
      </c>
      <c r="AO24" s="57">
        <v>0.24626999999999999</v>
      </c>
      <c r="AP24" s="57">
        <v>5.0806199999999997</v>
      </c>
      <c r="AQ24" s="57">
        <v>31.266220000000001</v>
      </c>
      <c r="AR24" s="57">
        <v>54.719889999999999</v>
      </c>
      <c r="AS24" s="57">
        <v>2.0470020000000004</v>
      </c>
      <c r="AT24" s="57">
        <v>4.3065631199999999</v>
      </c>
      <c r="AU24" s="57">
        <v>50.963999999999999</v>
      </c>
      <c r="AV24" s="57">
        <v>57.582385820000006</v>
      </c>
      <c r="AW24" s="57">
        <v>5.4020000000000001</v>
      </c>
      <c r="AX24" s="57">
        <v>18.097999999999999</v>
      </c>
      <c r="AY24" s="57">
        <v>45.597999999999999</v>
      </c>
      <c r="AZ24" s="57">
        <v>90.757999999999996</v>
      </c>
      <c r="BA24" s="57">
        <v>9.1519999999999992</v>
      </c>
      <c r="BB24" s="57">
        <v>27.449000000000002</v>
      </c>
      <c r="BC24" s="57">
        <v>77.741</v>
      </c>
      <c r="BD24" s="57">
        <v>149.739</v>
      </c>
      <c r="BE24" s="82">
        <v>12.911</v>
      </c>
      <c r="BF24" s="82">
        <v>39.370858819999995</v>
      </c>
      <c r="BG24" s="82">
        <v>100.03292604000001</v>
      </c>
      <c r="BH24" s="82">
        <v>194.05407396000001</v>
      </c>
      <c r="BI24" s="82">
        <v>22.857376760000001</v>
      </c>
      <c r="BJ24" s="82">
        <v>27.884</v>
      </c>
      <c r="BK24" s="82">
        <v>86.822000000000003</v>
      </c>
      <c r="BL24" s="82">
        <v>188.86240515</v>
      </c>
      <c r="BM24" s="82">
        <v>30.440381079999998</v>
      </c>
      <c r="BN24" s="82">
        <v>30.645434980000001</v>
      </c>
      <c r="BO24" s="82">
        <v>149.244</v>
      </c>
      <c r="BP24" s="82">
        <v>176.01400000000001</v>
      </c>
      <c r="BQ24" s="82">
        <v>64.327734800000002</v>
      </c>
      <c r="BR24" s="82">
        <v>42.811502130000001</v>
      </c>
    </row>
    <row r="25" spans="1:70" x14ac:dyDescent="0.25">
      <c r="A25" s="72" t="s">
        <v>173</v>
      </c>
      <c r="B25" s="57">
        <v>53.251430823185366</v>
      </c>
      <c r="C25" s="57">
        <v>69.892207213984463</v>
      </c>
      <c r="D25" s="57">
        <v>92.532832612874259</v>
      </c>
      <c r="E25" s="57">
        <v>97.513987254668194</v>
      </c>
      <c r="F25" s="57">
        <v>73.257999999999996</v>
      </c>
      <c r="G25" s="57">
        <v>96.215999999999994</v>
      </c>
      <c r="H25" s="57">
        <v>98.224382270000007</v>
      </c>
      <c r="I25" s="142">
        <f>SUM(AK25:AN25)</f>
        <v>145.286</v>
      </c>
      <c r="J25" s="142">
        <f>SUM(AO25:AR25)</f>
        <v>209.65599</v>
      </c>
      <c r="K25" s="142">
        <f>SUM(AS25:AV25)</f>
        <v>257.68685414999999</v>
      </c>
      <c r="L25" s="142">
        <f>SUM(AW25:AZ25)</f>
        <v>558.38310000000001</v>
      </c>
      <c r="M25" s="142">
        <f>SUM(BA25:BD25)</f>
        <v>1089.951</v>
      </c>
      <c r="N25" s="142">
        <f t="shared" si="32"/>
        <v>1009.0594021299999</v>
      </c>
      <c r="O25" s="142">
        <f>SUM(BI25:BL25)</f>
        <v>1090.8844319</v>
      </c>
      <c r="P25" s="142">
        <f>SUM(BM25:BP25)</f>
        <v>1570.3632739200002</v>
      </c>
      <c r="Q25" s="81"/>
      <c r="R25" s="144">
        <f t="shared" si="33"/>
        <v>93.186739999999986</v>
      </c>
      <c r="S25" s="144">
        <f t="shared" si="34"/>
        <v>144.06721999999999</v>
      </c>
      <c r="T25" s="144">
        <f t="shared" si="35"/>
        <v>183.79621495000001</v>
      </c>
      <c r="U25" s="144">
        <f t="shared" si="36"/>
        <v>345.52</v>
      </c>
      <c r="V25" s="144">
        <f>SUM(BA25:BC25)</f>
        <v>755.298</v>
      </c>
      <c r="W25" s="144">
        <f>SUM(BE25:BG25)</f>
        <v>750.4324021299999</v>
      </c>
      <c r="X25" s="144">
        <f>SUM(BI25:BK25)</f>
        <v>711.88145603999999</v>
      </c>
      <c r="Y25" s="144">
        <f>SUM(BM25:BO25)</f>
        <v>1091.2202739200002</v>
      </c>
      <c r="Z25" s="81"/>
      <c r="AA25" s="144">
        <f t="shared" si="37"/>
        <v>28.76247</v>
      </c>
      <c r="AB25" s="144">
        <f t="shared" si="38"/>
        <v>56.052259999999997</v>
      </c>
      <c r="AC25" s="144">
        <f t="shared" si="39"/>
        <v>43.442728380000013</v>
      </c>
      <c r="AD25" s="144">
        <f t="shared" si="40"/>
        <v>119.53700000000001</v>
      </c>
      <c r="AE25" s="144">
        <f t="shared" si="41"/>
        <v>314.69200000000001</v>
      </c>
      <c r="AF25" s="144">
        <f>SUM(BE25:BF25)</f>
        <v>335.45090561999996</v>
      </c>
      <c r="AG25" s="143">
        <f>SUM(BI25:BJ25)</f>
        <v>239.31845604</v>
      </c>
      <c r="AH25" s="143">
        <f>SUM(BM25:BN25)</f>
        <v>430.26827392000007</v>
      </c>
      <c r="AI25" s="143">
        <f>SUM(BQ25:BR25)</f>
        <v>595.35166456000002</v>
      </c>
      <c r="AJ25" s="81"/>
      <c r="AK25" s="57">
        <v>5.7799300000000002</v>
      </c>
      <c r="AL25" s="57">
        <v>22.98254</v>
      </c>
      <c r="AM25" s="57">
        <v>64.424269999999993</v>
      </c>
      <c r="AN25" s="57">
        <v>52.099260000000001</v>
      </c>
      <c r="AO25" s="57">
        <v>11.662469999999999</v>
      </c>
      <c r="AP25" s="57">
        <v>44.389789999999998</v>
      </c>
      <c r="AQ25" s="57">
        <v>88.014960000000002</v>
      </c>
      <c r="AR25" s="57">
        <v>65.588770000000011</v>
      </c>
      <c r="AS25" s="57">
        <v>13.50906219</v>
      </c>
      <c r="AT25" s="57">
        <v>29.933666190000011</v>
      </c>
      <c r="AU25" s="57">
        <v>140.35348657</v>
      </c>
      <c r="AV25" s="57">
        <v>73.890639199999981</v>
      </c>
      <c r="AW25" s="57">
        <v>22.952999999999999</v>
      </c>
      <c r="AX25" s="57">
        <v>96.584000000000003</v>
      </c>
      <c r="AY25" s="57">
        <v>225.983</v>
      </c>
      <c r="AZ25" s="57">
        <v>212.8631</v>
      </c>
      <c r="BA25" s="57">
        <v>89.341999999999999</v>
      </c>
      <c r="BB25" s="57">
        <v>225.35</v>
      </c>
      <c r="BC25" s="57">
        <v>440.60599999999999</v>
      </c>
      <c r="BD25" s="57">
        <v>334.65300000000002</v>
      </c>
      <c r="BE25" s="82">
        <v>121.508</v>
      </c>
      <c r="BF25" s="82">
        <v>213.94290561999998</v>
      </c>
      <c r="BG25" s="82">
        <v>414.98149651</v>
      </c>
      <c r="BH25" s="82">
        <v>258.62700000000001</v>
      </c>
      <c r="BI25" s="82">
        <v>90.237456039999998</v>
      </c>
      <c r="BJ25" s="82">
        <v>149.08099999999999</v>
      </c>
      <c r="BK25" s="82">
        <v>472.56299999999999</v>
      </c>
      <c r="BL25" s="82">
        <v>379.00297585999999</v>
      </c>
      <c r="BM25" s="82">
        <v>160.51027338000009</v>
      </c>
      <c r="BN25" s="82">
        <v>269.75800054000001</v>
      </c>
      <c r="BO25" s="82">
        <v>660.952</v>
      </c>
      <c r="BP25" s="82">
        <v>479.14299999999997</v>
      </c>
      <c r="BQ25" s="82">
        <v>247.38066455999996</v>
      </c>
      <c r="BR25" s="82">
        <v>347.971</v>
      </c>
    </row>
    <row r="26" spans="1:70" x14ac:dyDescent="0.25">
      <c r="A26" s="72" t="s">
        <v>174</v>
      </c>
      <c r="B26" s="57">
        <v>37.307119821174091</v>
      </c>
      <c r="C26" s="57">
        <v>56.913549021917269</v>
      </c>
      <c r="D26" s="57">
        <v>93.635225501108863</v>
      </c>
      <c r="E26" s="57">
        <v>131.51160980524148</v>
      </c>
      <c r="F26" s="57">
        <v>153.45599999999999</v>
      </c>
      <c r="G26" s="57">
        <v>187.739</v>
      </c>
      <c r="H26" s="57">
        <v>222.35967073</v>
      </c>
      <c r="I26" s="142">
        <f>SUM(AK26:AN26)</f>
        <v>368.74398999999994</v>
      </c>
      <c r="J26" s="142">
        <f>SUM(AO26:AR26)</f>
        <v>421.40600999999998</v>
      </c>
      <c r="K26" s="142">
        <f>SUM(AS26:AV26)</f>
        <v>545.71553631999984</v>
      </c>
      <c r="L26" s="142">
        <f>SUM(AW26:AZ26)</f>
        <v>815.87699999999995</v>
      </c>
      <c r="M26" s="142">
        <f>SUM(BA26:BD26)</f>
        <v>1181.365</v>
      </c>
      <c r="N26" s="142">
        <f t="shared" si="32"/>
        <v>1188.1210772300001</v>
      </c>
      <c r="O26" s="142">
        <f>SUM(BI26:BL26)</f>
        <v>1402.27363285</v>
      </c>
      <c r="P26" s="142">
        <f>SUM(BM26:BP26)</f>
        <v>1452.9333625899999</v>
      </c>
      <c r="Q26" s="81"/>
      <c r="R26" s="144">
        <f t="shared" si="33"/>
        <v>212.97899999999998</v>
      </c>
      <c r="S26" s="144">
        <f t="shared" si="34"/>
        <v>263.38495999999998</v>
      </c>
      <c r="T26" s="144">
        <f t="shared" si="35"/>
        <v>323.80815206999995</v>
      </c>
      <c r="U26" s="144">
        <f t="shared" si="36"/>
        <v>480.31299999999999</v>
      </c>
      <c r="V26" s="144">
        <f>SUM(BA26:BC26)</f>
        <v>634.14300000000003</v>
      </c>
      <c r="W26" s="144">
        <f>SUM(BE26:BG26)</f>
        <v>616.14916628000003</v>
      </c>
      <c r="X26" s="144">
        <f>SUM(BI26:BK26)</f>
        <v>745.84353762000001</v>
      </c>
      <c r="Y26" s="144">
        <f>SUM(BM26:BO26)</f>
        <v>795.91336259000002</v>
      </c>
      <c r="Z26" s="81"/>
      <c r="AA26" s="144">
        <f t="shared" si="37"/>
        <v>151.95268999999999</v>
      </c>
      <c r="AB26" s="144">
        <f t="shared" si="38"/>
        <v>182.65091000000001</v>
      </c>
      <c r="AC26" s="144">
        <f t="shared" si="39"/>
        <v>213.85523949999998</v>
      </c>
      <c r="AD26" s="144">
        <f t="shared" si="40"/>
        <v>307.77300000000002</v>
      </c>
      <c r="AE26" s="144">
        <f t="shared" si="41"/>
        <v>386.553</v>
      </c>
      <c r="AF26" s="144">
        <f>SUM(BE26:BF26)</f>
        <v>397.05207723000001</v>
      </c>
      <c r="AG26" s="143">
        <f>SUM(BI26:BJ26)</f>
        <v>547.75053762000005</v>
      </c>
      <c r="AH26" s="143">
        <f>SUM(BM26:BN26)</f>
        <v>526.26936259000001</v>
      </c>
      <c r="AI26" s="143">
        <f>SUM(BQ26:BR26)</f>
        <v>611.44610072999978</v>
      </c>
      <c r="AJ26" s="81"/>
      <c r="AK26" s="57">
        <v>143.83933999999999</v>
      </c>
      <c r="AL26" s="57">
        <v>8.1133500000000005</v>
      </c>
      <c r="AM26" s="57">
        <v>61.026309999999995</v>
      </c>
      <c r="AN26" s="57">
        <v>155.76498999999998</v>
      </c>
      <c r="AO26" s="57">
        <v>178.57548</v>
      </c>
      <c r="AP26" s="57">
        <v>4.0754299999999999</v>
      </c>
      <c r="AQ26" s="57">
        <v>80.734049999999996</v>
      </c>
      <c r="AR26" s="57">
        <v>158.02105</v>
      </c>
      <c r="AS26" s="57">
        <v>186.44900013999998</v>
      </c>
      <c r="AT26" s="57">
        <v>27.406239359999994</v>
      </c>
      <c r="AU26" s="57">
        <v>109.95291256999998</v>
      </c>
      <c r="AV26" s="57">
        <v>221.90738424999989</v>
      </c>
      <c r="AW26" s="57">
        <v>263.11500000000001</v>
      </c>
      <c r="AX26" s="57">
        <v>44.658000000000001</v>
      </c>
      <c r="AY26" s="57">
        <v>172.54</v>
      </c>
      <c r="AZ26" s="57">
        <v>335.56400000000002</v>
      </c>
      <c r="BA26" s="57">
        <v>275.29599999999999</v>
      </c>
      <c r="BB26" s="57">
        <v>111.25700000000001</v>
      </c>
      <c r="BC26" s="57">
        <v>247.59</v>
      </c>
      <c r="BD26" s="57">
        <v>547.22199999999998</v>
      </c>
      <c r="BE26" s="82">
        <v>309.64999999999998</v>
      </c>
      <c r="BF26" s="82">
        <v>87.402077230000003</v>
      </c>
      <c r="BG26" s="82">
        <v>219.09708904999999</v>
      </c>
      <c r="BH26" s="82">
        <v>571.97191095000005</v>
      </c>
      <c r="BI26" s="82">
        <v>488.16553762000001</v>
      </c>
      <c r="BJ26" s="82">
        <v>59.585000000000001</v>
      </c>
      <c r="BK26" s="82">
        <v>198.09299999999999</v>
      </c>
      <c r="BL26" s="82">
        <v>656.43009523000001</v>
      </c>
      <c r="BM26" s="82">
        <v>435.59030405999999</v>
      </c>
      <c r="BN26" s="82">
        <v>90.679058529999992</v>
      </c>
      <c r="BO26" s="82">
        <v>269.64400000000001</v>
      </c>
      <c r="BP26" s="82">
        <v>657.02</v>
      </c>
      <c r="BQ26" s="82">
        <v>514.89878332999979</v>
      </c>
      <c r="BR26" s="82">
        <v>96.547317399999997</v>
      </c>
    </row>
    <row r="27" spans="1:70" x14ac:dyDescent="0.25">
      <c r="A27" s="72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81"/>
      <c r="R27" s="80"/>
      <c r="S27" s="80"/>
      <c r="T27" s="80"/>
      <c r="U27" s="80"/>
      <c r="V27" s="80"/>
      <c r="W27" s="80"/>
      <c r="X27" s="80"/>
      <c r="Y27" s="80"/>
      <c r="Z27" s="81"/>
      <c r="AA27" s="80"/>
      <c r="AB27" s="80"/>
      <c r="AC27" s="80"/>
      <c r="AD27" s="80"/>
      <c r="AE27" s="80"/>
      <c r="AF27" s="80"/>
      <c r="AG27" s="80"/>
      <c r="AH27" s="80"/>
      <c r="AI27" s="80"/>
      <c r="AJ27" s="81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80"/>
      <c r="BK27" s="64"/>
      <c r="BL27" s="64"/>
      <c r="BM27" s="64"/>
      <c r="BN27" s="18"/>
    </row>
    <row r="28" spans="1:70" x14ac:dyDescent="0.25">
      <c r="A28" s="62" t="s">
        <v>163</v>
      </c>
      <c r="B28" s="18">
        <f t="shared" ref="B28:H28" si="43">SUM(B29:B31)</f>
        <v>280.92447471953557</v>
      </c>
      <c r="C28" s="18">
        <f t="shared" si="43"/>
        <v>324.94779971917205</v>
      </c>
      <c r="D28" s="18">
        <f t="shared" si="43"/>
        <v>466.05256715764716</v>
      </c>
      <c r="E28" s="18">
        <f t="shared" si="43"/>
        <v>224.74201062258157</v>
      </c>
      <c r="F28" s="18">
        <f t="shared" si="43"/>
        <v>290.97900000000004</v>
      </c>
      <c r="G28" s="18">
        <f t="shared" si="43"/>
        <v>329.476</v>
      </c>
      <c r="H28" s="18">
        <f t="shared" si="43"/>
        <v>400.80975959</v>
      </c>
      <c r="I28" s="18">
        <f>SUM(AK28:AN28)</f>
        <v>442.238</v>
      </c>
      <c r="J28" s="18">
        <f>SUM(AO28:AR28)</f>
        <v>454.63699999999994</v>
      </c>
      <c r="K28" s="18">
        <f>SUM(AS28:AV28)</f>
        <v>486.15466229000003</v>
      </c>
      <c r="L28" s="18">
        <f>SUM(AW28:AZ28)</f>
        <v>1412.2960000000003</v>
      </c>
      <c r="M28" s="18">
        <f>SUM(BA28:BD28)</f>
        <v>1348.0500000000002</v>
      </c>
      <c r="N28" s="18">
        <f t="shared" ref="N28:N31" si="44">SUM(BE28:BH28)</f>
        <v>1766.2321814242248</v>
      </c>
      <c r="O28" s="18">
        <f>SUM(BI28:BL28)</f>
        <v>3257.4208189985538</v>
      </c>
      <c r="P28" s="18">
        <f>SUM(BM28:BP28)</f>
        <v>5235.0825402740693</v>
      </c>
      <c r="Q28" s="73"/>
      <c r="R28" s="80">
        <f t="shared" si="33"/>
        <v>397.91489000000001</v>
      </c>
      <c r="S28" s="80">
        <f t="shared" si="34"/>
        <v>396.74999999999994</v>
      </c>
      <c r="T28" s="80">
        <f t="shared" si="35"/>
        <v>434.33559018000005</v>
      </c>
      <c r="U28" s="80">
        <f t="shared" si="36"/>
        <v>1077.1680000000001</v>
      </c>
      <c r="V28" s="80">
        <f>SUM(BA28:BC28)</f>
        <v>1051.45</v>
      </c>
      <c r="W28" s="80">
        <f>SUM(BE28:BG28)</f>
        <v>1422.7082827483489</v>
      </c>
      <c r="X28" s="80">
        <f>SUM(BI28:BK28)</f>
        <v>2342.2097272691926</v>
      </c>
      <c r="Y28" s="80">
        <f>SUM(BM28:BO28)</f>
        <v>4007.7335402740691</v>
      </c>
      <c r="Z28" s="73"/>
      <c r="AA28" s="80">
        <f t="shared" si="37"/>
        <v>256.57526999999999</v>
      </c>
      <c r="AB28" s="80">
        <f t="shared" si="38"/>
        <v>301.67873999999995</v>
      </c>
      <c r="AC28" s="80">
        <f t="shared" si="39"/>
        <v>352.95595896999998</v>
      </c>
      <c r="AD28" s="80">
        <f t="shared" si="40"/>
        <v>477.86500000000001</v>
      </c>
      <c r="AE28" s="80">
        <f>SUM(BA28:BB28)</f>
        <v>621.25</v>
      </c>
      <c r="AF28" s="80">
        <f>SUM(BE28:BF28)</f>
        <v>1031.8731815199999</v>
      </c>
      <c r="AG28" s="28">
        <f>SUM(BI28:BJ28)</f>
        <v>1456.800727269193</v>
      </c>
      <c r="AH28" s="28">
        <f>SUM(BM28:BN28)</f>
        <v>2298.4835402740691</v>
      </c>
      <c r="AI28" s="28">
        <f>SUM(BQ28:BR28)</f>
        <v>3669.2317584872062</v>
      </c>
      <c r="AJ28" s="73"/>
      <c r="AK28" s="80">
        <f>SUM(AK29:AK31)</f>
        <v>62.090760000000003</v>
      </c>
      <c r="AL28" s="80">
        <f t="shared" ref="AL28:BG28" si="45">SUM(AL29:AL31)</f>
        <v>194.48451</v>
      </c>
      <c r="AM28" s="80">
        <f t="shared" si="45"/>
        <v>141.33962</v>
      </c>
      <c r="AN28" s="80">
        <f t="shared" si="45"/>
        <v>44.32311</v>
      </c>
      <c r="AO28" s="80">
        <f t="shared" si="45"/>
        <v>111.97525999999999</v>
      </c>
      <c r="AP28" s="80">
        <f t="shared" si="45"/>
        <v>189.70347999999996</v>
      </c>
      <c r="AQ28" s="80">
        <f t="shared" si="45"/>
        <v>95.071260000000009</v>
      </c>
      <c r="AR28" s="80">
        <f t="shared" si="45"/>
        <v>57.887</v>
      </c>
      <c r="AS28" s="80">
        <f t="shared" si="45"/>
        <v>68.967440850000003</v>
      </c>
      <c r="AT28" s="80">
        <f t="shared" si="45"/>
        <v>283.98851811999998</v>
      </c>
      <c r="AU28" s="80">
        <f t="shared" si="45"/>
        <v>81.37963121000007</v>
      </c>
      <c r="AV28" s="80">
        <f t="shared" si="45"/>
        <v>51.819072109999993</v>
      </c>
      <c r="AW28" s="80">
        <f t="shared" si="45"/>
        <v>97.491</v>
      </c>
      <c r="AX28" s="80">
        <f t="shared" si="45"/>
        <v>380.37400000000002</v>
      </c>
      <c r="AY28" s="80">
        <f t="shared" si="45"/>
        <v>599.303</v>
      </c>
      <c r="AZ28" s="80">
        <f t="shared" si="45"/>
        <v>335.12800000000004</v>
      </c>
      <c r="BA28" s="80">
        <f t="shared" si="45"/>
        <v>328.73</v>
      </c>
      <c r="BB28" s="80">
        <f t="shared" si="45"/>
        <v>292.52</v>
      </c>
      <c r="BC28" s="80">
        <f t="shared" si="45"/>
        <v>430.20000000000005</v>
      </c>
      <c r="BD28" s="80">
        <f t="shared" si="45"/>
        <v>296.60000000000002</v>
      </c>
      <c r="BE28" s="80">
        <f t="shared" si="45"/>
        <v>460.08000000000004</v>
      </c>
      <c r="BF28" s="80">
        <f t="shared" si="45"/>
        <v>571.79318151999996</v>
      </c>
      <c r="BG28" s="80">
        <f t="shared" si="45"/>
        <v>390.835101228349</v>
      </c>
      <c r="BH28" s="80">
        <f t="shared" ref="BH28:BK28" si="46">SUM(BH29:BH31)</f>
        <v>343.5238986758759</v>
      </c>
      <c r="BI28" s="80">
        <f t="shared" si="46"/>
        <v>559.34972726919295</v>
      </c>
      <c r="BJ28" s="80">
        <f t="shared" si="46"/>
        <v>897.45100000000002</v>
      </c>
      <c r="BK28" s="18">
        <f t="shared" si="46"/>
        <v>885.40899999999988</v>
      </c>
      <c r="BL28" s="18">
        <f t="shared" ref="BL28" si="47">SUM(BL29:BL31)</f>
        <v>915.21109172936099</v>
      </c>
      <c r="BM28" s="18">
        <f t="shared" ref="BM28:BP28" si="48">SUM(BM29:BM31)</f>
        <v>1047.0906827961123</v>
      </c>
      <c r="BN28" s="18">
        <f t="shared" si="48"/>
        <v>1251.3928574779566</v>
      </c>
      <c r="BO28" s="18">
        <f t="shared" si="48"/>
        <v>1709.25</v>
      </c>
      <c r="BP28" s="18">
        <f t="shared" si="48"/>
        <v>1227.3489999999999</v>
      </c>
      <c r="BQ28" s="18">
        <f t="shared" ref="BQ28:BR28" si="49">SUM(BQ29:BQ31)</f>
        <v>1466.2830840429058</v>
      </c>
      <c r="BR28" s="18">
        <f t="shared" si="49"/>
        <v>2202.9486744443002</v>
      </c>
    </row>
    <row r="29" spans="1:70" x14ac:dyDescent="0.25">
      <c r="A29" s="72" t="s">
        <v>175</v>
      </c>
      <c r="B29" s="57">
        <v>221.93194105851424</v>
      </c>
      <c r="C29" s="57">
        <v>245.28031866969468</v>
      </c>
      <c r="D29" s="57">
        <v>381.73849829607803</v>
      </c>
      <c r="E29" s="57">
        <v>119.42176711212571</v>
      </c>
      <c r="F29" s="57">
        <v>200.608</v>
      </c>
      <c r="G29" s="57">
        <v>291.77199999999999</v>
      </c>
      <c r="H29" s="57">
        <v>332.83191925</v>
      </c>
      <c r="I29" s="142">
        <f>SUM(AK29:AN29)</f>
        <v>371.83799999999997</v>
      </c>
      <c r="J29" s="142">
        <f>SUM(AO29:AR29)</f>
        <v>356.84199999999998</v>
      </c>
      <c r="K29" s="142">
        <f>SUM(AS29:AV29)</f>
        <v>351.10961186000009</v>
      </c>
      <c r="L29" s="142">
        <f>SUM(AW29:AZ29)</f>
        <v>1074.106</v>
      </c>
      <c r="M29" s="142">
        <f>SUM(BA29:BD29)</f>
        <v>688.07499999999993</v>
      </c>
      <c r="N29" s="142">
        <f t="shared" si="44"/>
        <v>901.30488577257893</v>
      </c>
      <c r="O29" s="142">
        <f>SUM(BI29:BL29)</f>
        <v>2325.7838054421277</v>
      </c>
      <c r="P29" s="142">
        <f>SUM(BM29:BP29)</f>
        <v>3459.0990612010432</v>
      </c>
      <c r="Q29" s="73"/>
      <c r="R29" s="144">
        <f t="shared" si="33"/>
        <v>348.32588999999996</v>
      </c>
      <c r="S29" s="144">
        <f t="shared" si="34"/>
        <v>315.12199999999996</v>
      </c>
      <c r="T29" s="144">
        <f t="shared" si="35"/>
        <v>338.58130532000007</v>
      </c>
      <c r="U29" s="144">
        <f t="shared" si="36"/>
        <v>877.77</v>
      </c>
      <c r="V29" s="144">
        <f>SUM(BA29:BC29)</f>
        <v>620.51199999999994</v>
      </c>
      <c r="W29" s="144">
        <f>SUM(BE29:BG29)</f>
        <v>691.12173662521298</v>
      </c>
      <c r="X29" s="144">
        <f>SUM(BI29:BK29)</f>
        <v>1631.4458565408099</v>
      </c>
      <c r="Y29" s="144">
        <f>SUM(BM29:BO29)</f>
        <v>2828.7620612010433</v>
      </c>
      <c r="Z29" s="73"/>
      <c r="AA29" s="144">
        <f t="shared" si="37"/>
        <v>210.41426999999999</v>
      </c>
      <c r="AB29" s="144">
        <f t="shared" si="38"/>
        <v>225.57173999999998</v>
      </c>
      <c r="AC29" s="144">
        <f t="shared" si="39"/>
        <v>260.00576219999999</v>
      </c>
      <c r="AD29" s="144">
        <f t="shared" si="40"/>
        <v>355.09000000000003</v>
      </c>
      <c r="AE29" s="144">
        <f>SUM(BA29:BB29)</f>
        <v>306.35399999999998</v>
      </c>
      <c r="AF29" s="144">
        <f>SUM(BE29:BF29)</f>
        <v>477.73860845000002</v>
      </c>
      <c r="AG29" s="143">
        <f>SUM(BI29:BJ29)</f>
        <v>995.46785654081009</v>
      </c>
      <c r="AH29" s="143">
        <f>SUM(BM29:BN29)</f>
        <v>1639.7810612010433</v>
      </c>
      <c r="AI29" s="143">
        <f t="shared" ref="AI29:AI31" si="50">SUM(BQ29:BR29)</f>
        <v>2982.5370698140932</v>
      </c>
      <c r="AJ29" s="73"/>
      <c r="AK29" s="57">
        <v>32.685760000000002</v>
      </c>
      <c r="AL29" s="57">
        <v>177.72851</v>
      </c>
      <c r="AM29" s="57">
        <v>137.91162</v>
      </c>
      <c r="AN29" s="57">
        <v>23.51211</v>
      </c>
      <c r="AO29" s="57">
        <v>50.541260000000001</v>
      </c>
      <c r="AP29" s="57">
        <v>175.03047999999998</v>
      </c>
      <c r="AQ29" s="57">
        <v>89.550260000000009</v>
      </c>
      <c r="AR29" s="57">
        <v>41.72</v>
      </c>
      <c r="AS29" s="57">
        <v>25.387762199999997</v>
      </c>
      <c r="AT29" s="57">
        <v>234.61799999999999</v>
      </c>
      <c r="AU29" s="57">
        <v>78.575543120000077</v>
      </c>
      <c r="AV29" s="57">
        <v>12.52830653999999</v>
      </c>
      <c r="AW29" s="57">
        <v>50.37</v>
      </c>
      <c r="AX29" s="57">
        <v>304.72000000000003</v>
      </c>
      <c r="AY29" s="57">
        <v>522.67999999999995</v>
      </c>
      <c r="AZ29" s="57">
        <v>196.33600000000001</v>
      </c>
      <c r="BA29" s="57">
        <v>110.373</v>
      </c>
      <c r="BB29" s="57">
        <v>195.98099999999999</v>
      </c>
      <c r="BC29" s="57">
        <v>314.15800000000002</v>
      </c>
      <c r="BD29" s="57">
        <v>67.563000000000002</v>
      </c>
      <c r="BE29" s="57">
        <v>107.773</v>
      </c>
      <c r="BF29" s="57">
        <v>369.96560844999999</v>
      </c>
      <c r="BG29" s="82">
        <v>213.38312817521299</v>
      </c>
      <c r="BH29" s="82">
        <v>210.18314914736601</v>
      </c>
      <c r="BI29" s="82">
        <v>178.68585654080999</v>
      </c>
      <c r="BJ29" s="82">
        <v>816.78200000000004</v>
      </c>
      <c r="BK29" s="82">
        <v>635.97799999999995</v>
      </c>
      <c r="BL29" s="82">
        <v>694.33794890131776</v>
      </c>
      <c r="BM29" s="82">
        <v>487.15279593940045</v>
      </c>
      <c r="BN29" s="82">
        <v>1152.6282652616428</v>
      </c>
      <c r="BO29" s="82">
        <v>1188.981</v>
      </c>
      <c r="BP29" s="82">
        <v>630.33699999999999</v>
      </c>
      <c r="BQ29" s="82">
        <v>929.54558515006352</v>
      </c>
      <c r="BR29" s="82">
        <v>2052.9914846640299</v>
      </c>
    </row>
    <row r="30" spans="1:70" x14ac:dyDescent="0.25">
      <c r="A30" s="72" t="s">
        <v>176</v>
      </c>
      <c r="B30" s="57">
        <v>13.55430489891649</v>
      </c>
      <c r="C30" s="57">
        <v>18.236909710982673</v>
      </c>
      <c r="D30" s="57">
        <v>22.471236182327335</v>
      </c>
      <c r="E30" s="57">
        <v>17.585596794614784</v>
      </c>
      <c r="F30" s="57">
        <v>27.251999999999999</v>
      </c>
      <c r="G30" s="57">
        <v>10.606999999999999</v>
      </c>
      <c r="H30" s="57">
        <v>20.475000000000001</v>
      </c>
      <c r="I30" s="142">
        <f>SUM(AK30:AN30)</f>
        <v>16.553999999999998</v>
      </c>
      <c r="J30" s="142">
        <f>SUM(AO30:AR30)</f>
        <v>37.041000000000004</v>
      </c>
      <c r="K30" s="142">
        <f>SUM(AS30:AV30)</f>
        <v>32.76537613</v>
      </c>
      <c r="L30" s="142">
        <f>SUM(AW30:AZ30)</f>
        <v>76.197999999999993</v>
      </c>
      <c r="M30" s="142">
        <f>SUM(BA30:BD30)</f>
        <v>195.126</v>
      </c>
      <c r="N30" s="142">
        <f t="shared" si="44"/>
        <v>350.80989727164598</v>
      </c>
      <c r="O30" s="142">
        <f>SUM(BI30:BL30)</f>
        <v>435.7468430212316</v>
      </c>
      <c r="P30" s="142">
        <f>SUM(BM30:BP30)</f>
        <v>1093.4370599865604</v>
      </c>
      <c r="Q30" s="73"/>
      <c r="R30" s="144">
        <f t="shared" si="33"/>
        <v>12.914999999999999</v>
      </c>
      <c r="S30" s="144">
        <f t="shared" si="34"/>
        <v>37.041000000000004</v>
      </c>
      <c r="T30" s="144">
        <f t="shared" si="35"/>
        <v>30.034191059999998</v>
      </c>
      <c r="U30" s="144">
        <f t="shared" si="36"/>
        <v>70.271999999999991</v>
      </c>
      <c r="V30" s="144">
        <f>SUM(BA30:BC30)</f>
        <v>152.035</v>
      </c>
      <c r="W30" s="144">
        <f>SUM(BE30:BG30)</f>
        <v>301.589361653136</v>
      </c>
      <c r="X30" s="144">
        <f>SUM(BI30:BK30)</f>
        <v>363.764506779432</v>
      </c>
      <c r="Y30" s="144">
        <f>SUM(BM30:BO30)</f>
        <v>657.48005998656038</v>
      </c>
      <c r="Z30" s="73"/>
      <c r="AA30" s="144">
        <f t="shared" si="37"/>
        <v>12.914999999999999</v>
      </c>
      <c r="AB30" s="144">
        <f t="shared" si="38"/>
        <v>35.998000000000005</v>
      </c>
      <c r="AC30" s="144">
        <f t="shared" si="39"/>
        <v>27.66810297</v>
      </c>
      <c r="AD30" s="144">
        <f t="shared" si="40"/>
        <v>54.031999999999996</v>
      </c>
      <c r="AE30" s="144">
        <f>SUM(BA30:BB30)</f>
        <v>108.822</v>
      </c>
      <c r="AF30" s="144">
        <f>SUM(BE30:BF30)</f>
        <v>169.9993886</v>
      </c>
      <c r="AG30" s="143">
        <f>SUM(BI30:BJ30)</f>
        <v>163.92250677943198</v>
      </c>
      <c r="AH30" s="143">
        <f>SUM(BM30:BN30)</f>
        <v>200.58205998656032</v>
      </c>
      <c r="AI30" s="143">
        <f t="shared" si="50"/>
        <v>346.54462811637296</v>
      </c>
      <c r="AJ30" s="73"/>
      <c r="AK30" s="57">
        <v>12.917999999999999</v>
      </c>
      <c r="AL30" s="57">
        <v>-3.0000000000000001E-3</v>
      </c>
      <c r="AM30" s="57">
        <v>0</v>
      </c>
      <c r="AN30" s="57">
        <v>3.6389999999999998</v>
      </c>
      <c r="AO30" s="57">
        <v>33.286000000000001</v>
      </c>
      <c r="AP30" s="57">
        <v>2.7120000000000002</v>
      </c>
      <c r="AQ30" s="57">
        <v>1.0429999999999999</v>
      </c>
      <c r="AR30" s="57">
        <v>0</v>
      </c>
      <c r="AS30" s="57">
        <v>9.6679182200000007</v>
      </c>
      <c r="AT30" s="57">
        <v>18.000184749999999</v>
      </c>
      <c r="AU30" s="57">
        <v>2.3660880899999963</v>
      </c>
      <c r="AV30" s="57">
        <v>2.7311850700000031</v>
      </c>
      <c r="AW30" s="57">
        <v>34.445</v>
      </c>
      <c r="AX30" s="57">
        <v>19.587</v>
      </c>
      <c r="AY30" s="57">
        <v>16.239999999999998</v>
      </c>
      <c r="AZ30" s="57">
        <v>5.9260000000000002</v>
      </c>
      <c r="BA30" s="57">
        <v>59.024000000000001</v>
      </c>
      <c r="BB30" s="57">
        <v>49.798000000000002</v>
      </c>
      <c r="BC30" s="57">
        <v>43.213000000000001</v>
      </c>
      <c r="BD30" s="57">
        <v>43.091000000000001</v>
      </c>
      <c r="BE30" s="57">
        <v>113.64400000000001</v>
      </c>
      <c r="BF30" s="57">
        <v>56.355388599999998</v>
      </c>
      <c r="BG30" s="82">
        <v>131.58997305313599</v>
      </c>
      <c r="BH30" s="82">
        <v>49.220535618509999</v>
      </c>
      <c r="BI30" s="82">
        <v>141.55550677943199</v>
      </c>
      <c r="BJ30" s="82">
        <v>22.367000000000001</v>
      </c>
      <c r="BK30" s="82">
        <v>199.84200000000001</v>
      </c>
      <c r="BL30" s="82">
        <v>71.982336241799587</v>
      </c>
      <c r="BM30" s="82">
        <v>168.34212343696987</v>
      </c>
      <c r="BN30" s="82">
        <v>32.239936549590446</v>
      </c>
      <c r="BO30" s="82">
        <v>456.89800000000002</v>
      </c>
      <c r="BP30" s="82">
        <v>435.95699999999999</v>
      </c>
      <c r="BQ30" s="82">
        <v>278.13452265434006</v>
      </c>
      <c r="BR30" s="82">
        <v>68.410105462032902</v>
      </c>
    </row>
    <row r="31" spans="1:70" x14ac:dyDescent="0.25">
      <c r="A31" s="72" t="s">
        <v>177</v>
      </c>
      <c r="B31" s="57">
        <v>45.438228762104856</v>
      </c>
      <c r="C31" s="57">
        <v>61.430571338494673</v>
      </c>
      <c r="D31" s="57">
        <v>61.842832679241766</v>
      </c>
      <c r="E31" s="57">
        <v>87.73464671584108</v>
      </c>
      <c r="F31" s="57">
        <v>63.119</v>
      </c>
      <c r="G31" s="57">
        <v>27.097000000000001</v>
      </c>
      <c r="H31" s="57">
        <v>47.502840340000006</v>
      </c>
      <c r="I31" s="142">
        <f>SUM(AK31:AN31)</f>
        <v>53.846000000000004</v>
      </c>
      <c r="J31" s="142">
        <f>SUM(AO31:AR31)</f>
        <v>60.754000000000005</v>
      </c>
      <c r="K31" s="142">
        <f>SUM(AS31:AV31)</f>
        <v>102.27967430000001</v>
      </c>
      <c r="L31" s="142">
        <f>SUM(AW31:AZ31)</f>
        <v>261.99200000000002</v>
      </c>
      <c r="M31" s="142">
        <f>SUM(BA31:BD31)</f>
        <v>464.84900000000005</v>
      </c>
      <c r="N31" s="142">
        <f t="shared" si="44"/>
        <v>514.11739837999994</v>
      </c>
      <c r="O31" s="142">
        <f>SUM(BI31:BL31)</f>
        <v>495.89017053519461</v>
      </c>
      <c r="P31" s="142">
        <f>SUM(BM31:BP31)</f>
        <v>682.54641908646545</v>
      </c>
      <c r="Q31" s="73"/>
      <c r="R31" s="144">
        <f t="shared" si="33"/>
        <v>36.673999999999999</v>
      </c>
      <c r="S31" s="144">
        <f t="shared" si="34"/>
        <v>44.587000000000003</v>
      </c>
      <c r="T31" s="144">
        <f t="shared" si="35"/>
        <v>65.720093800000001</v>
      </c>
      <c r="U31" s="144">
        <f t="shared" si="36"/>
        <v>129.126</v>
      </c>
      <c r="V31" s="144">
        <f>SUM(BA31:BC31)</f>
        <v>278.90300000000002</v>
      </c>
      <c r="W31" s="144">
        <f>SUM(BE31:BG31)</f>
        <v>429.99718447000004</v>
      </c>
      <c r="X31" s="144">
        <f>SUM(BI31:BK31)</f>
        <v>346.99936394895099</v>
      </c>
      <c r="Y31" s="144">
        <f>SUM(BM31:BO31)</f>
        <v>521.49141908646538</v>
      </c>
      <c r="Z31" s="73"/>
      <c r="AA31" s="144">
        <f t="shared" si="37"/>
        <v>33.246000000000002</v>
      </c>
      <c r="AB31" s="144">
        <f t="shared" si="38"/>
        <v>40.109000000000002</v>
      </c>
      <c r="AC31" s="144">
        <f t="shared" si="39"/>
        <v>65.282093799999998</v>
      </c>
      <c r="AD31" s="144">
        <f t="shared" si="40"/>
        <v>68.742999999999995</v>
      </c>
      <c r="AE31" s="144">
        <f>SUM(BA31:BB31)</f>
        <v>206.07400000000001</v>
      </c>
      <c r="AF31" s="144">
        <f>SUM(BE31:BF31)</f>
        <v>384.13518447000001</v>
      </c>
      <c r="AG31" s="143">
        <f>SUM(BI31:BJ31)</f>
        <v>297.41036394895099</v>
      </c>
      <c r="AH31" s="143">
        <f>SUM(BM31:BN31)</f>
        <v>458.12041908646535</v>
      </c>
      <c r="AI31" s="143">
        <f t="shared" si="50"/>
        <v>340.1500605567395</v>
      </c>
      <c r="AJ31" s="73"/>
      <c r="AK31" s="57">
        <v>16.487000000000002</v>
      </c>
      <c r="AL31" s="57">
        <v>16.759</v>
      </c>
      <c r="AM31" s="57">
        <v>3.4279999999999999</v>
      </c>
      <c r="AN31" s="57">
        <v>17.172000000000001</v>
      </c>
      <c r="AO31" s="57">
        <v>28.148000000000003</v>
      </c>
      <c r="AP31" s="57">
        <v>11.960999999999999</v>
      </c>
      <c r="AQ31" s="57">
        <v>4.4779999999999998</v>
      </c>
      <c r="AR31" s="57">
        <v>16.167000000000002</v>
      </c>
      <c r="AS31" s="57">
        <v>33.911760430000001</v>
      </c>
      <c r="AT31" s="57">
        <v>31.370333369999994</v>
      </c>
      <c r="AU31" s="57">
        <v>0.438</v>
      </c>
      <c r="AV31" s="57">
        <v>36.559580500000003</v>
      </c>
      <c r="AW31" s="57">
        <v>12.676</v>
      </c>
      <c r="AX31" s="57">
        <v>56.067</v>
      </c>
      <c r="AY31" s="57">
        <v>60.383000000000003</v>
      </c>
      <c r="AZ31" s="57">
        <v>132.86600000000001</v>
      </c>
      <c r="BA31" s="57">
        <v>159.333</v>
      </c>
      <c r="BB31" s="57">
        <v>46.741</v>
      </c>
      <c r="BC31" s="57">
        <v>72.829000000000008</v>
      </c>
      <c r="BD31" s="57">
        <v>185.946</v>
      </c>
      <c r="BE31" s="57">
        <v>238.66300000000001</v>
      </c>
      <c r="BF31" s="57">
        <v>145.47218447</v>
      </c>
      <c r="BG31" s="57">
        <v>45.862000000000002</v>
      </c>
      <c r="BH31" s="57">
        <v>84.120213909999876</v>
      </c>
      <c r="BI31" s="82">
        <v>239.10836394895099</v>
      </c>
      <c r="BJ31" s="82">
        <v>58.302</v>
      </c>
      <c r="BK31" s="82">
        <v>49.588999999999999</v>
      </c>
      <c r="BL31" s="82">
        <v>148.89080658624363</v>
      </c>
      <c r="BM31" s="82">
        <v>391.59576341974207</v>
      </c>
      <c r="BN31" s="82">
        <v>66.524655666723291</v>
      </c>
      <c r="BO31" s="82">
        <v>63.371000000000002</v>
      </c>
      <c r="BP31" s="82">
        <v>161.05500000000001</v>
      </c>
      <c r="BQ31" s="82">
        <v>258.60297623850209</v>
      </c>
      <c r="BR31" s="82">
        <v>81.54708431823741</v>
      </c>
    </row>
    <row r="32" spans="1:70" x14ac:dyDescent="0.25">
      <c r="A32" s="72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73"/>
      <c r="R32" s="80"/>
      <c r="S32" s="80"/>
      <c r="T32" s="80"/>
      <c r="U32" s="80"/>
      <c r="V32" s="80"/>
      <c r="W32" s="80"/>
      <c r="X32" s="80"/>
      <c r="Y32" s="80"/>
      <c r="Z32" s="73"/>
      <c r="AA32" s="80"/>
      <c r="AB32" s="80"/>
      <c r="AC32" s="80"/>
      <c r="AD32" s="80"/>
      <c r="AE32" s="80"/>
      <c r="AF32" s="80"/>
      <c r="AG32" s="80"/>
      <c r="AH32" s="80"/>
      <c r="AI32" s="80"/>
      <c r="AJ32" s="7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80"/>
      <c r="BK32" s="64"/>
      <c r="BL32" s="64"/>
      <c r="BM32" s="64"/>
      <c r="BN32" s="64"/>
    </row>
    <row r="33" spans="1:70" x14ac:dyDescent="0.25">
      <c r="A33" s="62" t="s">
        <v>167</v>
      </c>
      <c r="B33" s="18">
        <v>0</v>
      </c>
      <c r="C33" s="18">
        <v>0</v>
      </c>
      <c r="D33" s="18">
        <f>SUM(D34:D35)</f>
        <v>198.47896661603758</v>
      </c>
      <c r="E33" s="18">
        <f>SUM(E34:E35)</f>
        <v>404.04274617941394</v>
      </c>
      <c r="F33" s="18">
        <f>SUM(F34:F35)</f>
        <v>538.95800000000008</v>
      </c>
      <c r="G33" s="18">
        <f>SUM(G34:G35)</f>
        <v>439.13</v>
      </c>
      <c r="H33" s="18">
        <f>SUM(H34:H35)</f>
        <v>508.96400000000006</v>
      </c>
      <c r="I33" s="18">
        <f>SUM(AK33:AN33)</f>
        <v>867.52800000000013</v>
      </c>
      <c r="J33" s="18">
        <f>SUM(AO33:AR33)</f>
        <v>1062.559</v>
      </c>
      <c r="K33" s="18">
        <f>SUM(AS33:AV33)</f>
        <v>1705.95109559</v>
      </c>
      <c r="L33" s="18">
        <f>SUM(AW33:AZ33)</f>
        <v>2392.9050000000002</v>
      </c>
      <c r="M33" s="18">
        <f>SUM(BA33:BD33)</f>
        <v>3002.3923361300003</v>
      </c>
      <c r="N33" s="18">
        <f t="shared" ref="N33:N35" si="51">SUM(BE33:BH33)</f>
        <v>4689.2033639683477</v>
      </c>
      <c r="O33" s="18">
        <f>SUM(BI33:BL33)</f>
        <v>6748.7666410746788</v>
      </c>
      <c r="P33" s="18">
        <f>SUM(BM33:BP33)</f>
        <v>7778.9710722259915</v>
      </c>
      <c r="Q33" s="73"/>
      <c r="R33" s="80">
        <f t="shared" si="33"/>
        <v>604.13100000000009</v>
      </c>
      <c r="S33" s="80">
        <f t="shared" si="34"/>
        <v>712.27300000000002</v>
      </c>
      <c r="T33" s="80">
        <f t="shared" si="35"/>
        <v>1103.1061118600001</v>
      </c>
      <c r="U33" s="80">
        <f t="shared" si="36"/>
        <v>1732.0990000000002</v>
      </c>
      <c r="V33" s="80">
        <f>SUM(BA33:BC33)</f>
        <v>2174.2173361300001</v>
      </c>
      <c r="W33" s="80">
        <f>SUM(BE33:BG33)</f>
        <v>3027.790034296082</v>
      </c>
      <c r="X33" s="80">
        <f>SUM(BI33:BK33)</f>
        <v>5034.7532178127567</v>
      </c>
      <c r="Y33" s="80">
        <f>SUM(BM33:BO33)</f>
        <v>5951.6670722259914</v>
      </c>
      <c r="Z33" s="73"/>
      <c r="AA33" s="80">
        <f t="shared" si="37"/>
        <v>365.35200000000003</v>
      </c>
      <c r="AB33" s="80">
        <f t="shared" si="38"/>
        <v>415.00200000000001</v>
      </c>
      <c r="AC33" s="80">
        <f t="shared" si="39"/>
        <v>637.72318233999999</v>
      </c>
      <c r="AD33" s="80">
        <f t="shared" si="40"/>
        <v>1045.9780000000001</v>
      </c>
      <c r="AE33" s="80">
        <f>SUM(BA33:BB33)</f>
        <v>1411.4423361300001</v>
      </c>
      <c r="AF33" s="80">
        <f>SUM(BE33:BF33)</f>
        <v>1748.39653127</v>
      </c>
      <c r="AG33" s="28">
        <f>SUM(BI33:BJ33)</f>
        <v>3181.0802814089802</v>
      </c>
      <c r="AH33" s="28">
        <f>SUM(BM33:BN33)</f>
        <v>3745.8780722259912</v>
      </c>
      <c r="AI33" s="28">
        <f>SUM(BQ33:BR33)</f>
        <v>3924.178791809255</v>
      </c>
      <c r="AJ33" s="73"/>
      <c r="AK33" s="80">
        <f>SUM(AK34:AK35)</f>
        <v>123.557</v>
      </c>
      <c r="AL33" s="80">
        <f t="shared" ref="AL33:BG33" si="52">SUM(AL34:AL35)</f>
        <v>241.79500000000002</v>
      </c>
      <c r="AM33" s="80">
        <f t="shared" si="52"/>
        <v>238.779</v>
      </c>
      <c r="AN33" s="80">
        <f t="shared" si="52"/>
        <v>263.39700000000005</v>
      </c>
      <c r="AO33" s="80">
        <f t="shared" si="52"/>
        <v>146.24700000000001</v>
      </c>
      <c r="AP33" s="80">
        <f t="shared" si="52"/>
        <v>268.755</v>
      </c>
      <c r="AQ33" s="80">
        <f t="shared" si="52"/>
        <v>297.27100000000002</v>
      </c>
      <c r="AR33" s="80">
        <f t="shared" si="52"/>
        <v>350.286</v>
      </c>
      <c r="AS33" s="80">
        <f t="shared" si="52"/>
        <v>242.89205425999998</v>
      </c>
      <c r="AT33" s="80">
        <f t="shared" si="52"/>
        <v>394.83112807999998</v>
      </c>
      <c r="AU33" s="80">
        <f t="shared" si="52"/>
        <v>465.38292951999995</v>
      </c>
      <c r="AV33" s="80">
        <f t="shared" si="52"/>
        <v>602.84498372999997</v>
      </c>
      <c r="AW33" s="80">
        <f t="shared" si="52"/>
        <v>380.31200000000001</v>
      </c>
      <c r="AX33" s="80">
        <f t="shared" si="52"/>
        <v>665.66599999999994</v>
      </c>
      <c r="AY33" s="80">
        <f t="shared" si="52"/>
        <v>686.12099999999998</v>
      </c>
      <c r="AZ33" s="80">
        <f t="shared" si="52"/>
        <v>660.80600000000004</v>
      </c>
      <c r="BA33" s="80">
        <f t="shared" si="52"/>
        <v>570.71500000000003</v>
      </c>
      <c r="BB33" s="80">
        <f t="shared" si="52"/>
        <v>840.72733613000003</v>
      </c>
      <c r="BC33" s="80">
        <f t="shared" si="52"/>
        <v>762.77500000000009</v>
      </c>
      <c r="BD33" s="80">
        <f t="shared" si="52"/>
        <v>828.17499999999995</v>
      </c>
      <c r="BE33" s="80">
        <f t="shared" si="52"/>
        <v>900.54700000000003</v>
      </c>
      <c r="BF33" s="80">
        <f t="shared" si="52"/>
        <v>847.84953126999994</v>
      </c>
      <c r="BG33" s="80">
        <f t="shared" si="52"/>
        <v>1279.393503026082</v>
      </c>
      <c r="BH33" s="80">
        <f t="shared" ref="BH33:BJ33" si="53">SUM(BH34:BH35)</f>
        <v>1661.4133296722659</v>
      </c>
      <c r="BI33" s="80">
        <f t="shared" si="53"/>
        <v>1518.6122814089799</v>
      </c>
      <c r="BJ33" s="80">
        <f t="shared" si="53"/>
        <v>1662.4680000000001</v>
      </c>
      <c r="BK33" s="18">
        <f t="shared" ref="BK33:BL33" si="54">SUM(BK34:BK35)</f>
        <v>1853.672936403776</v>
      </c>
      <c r="BL33" s="18">
        <f t="shared" si="54"/>
        <v>1714.0134232619223</v>
      </c>
      <c r="BM33" s="18">
        <f t="shared" ref="BM33" si="55">SUM(BM34:BM35)</f>
        <v>1825.476416719207</v>
      </c>
      <c r="BN33" s="18">
        <f t="shared" ref="BN33:BP33" si="56">SUM(BN34:BN35)</f>
        <v>1920.4016555067842</v>
      </c>
      <c r="BO33" s="18">
        <f t="shared" si="56"/>
        <v>2205.7890000000002</v>
      </c>
      <c r="BP33" s="18">
        <f t="shared" si="56"/>
        <v>1827.3040000000001</v>
      </c>
      <c r="BQ33" s="18">
        <f t="shared" ref="BQ33" si="57">SUM(BQ34:BQ35)</f>
        <v>1914.0579218533762</v>
      </c>
      <c r="BR33" s="18">
        <f>SUM(BR34:BR37)</f>
        <v>2010.1208699558786</v>
      </c>
    </row>
    <row r="34" spans="1:70" x14ac:dyDescent="0.25">
      <c r="A34" s="72" t="s">
        <v>178</v>
      </c>
      <c r="B34" s="57">
        <v>0</v>
      </c>
      <c r="C34" s="57">
        <v>0</v>
      </c>
      <c r="D34" s="57">
        <v>0</v>
      </c>
      <c r="E34" s="57">
        <v>53.185603587170199</v>
      </c>
      <c r="F34" s="57">
        <v>150.00700000000001</v>
      </c>
      <c r="G34" s="57">
        <v>153.839</v>
      </c>
      <c r="H34" s="57">
        <v>203.17400000000001</v>
      </c>
      <c r="I34" s="142">
        <f>SUM(AK34:AN34)</f>
        <v>346.43</v>
      </c>
      <c r="J34" s="142">
        <f>SUM(AO34:AR34)</f>
        <v>411.18499999999995</v>
      </c>
      <c r="K34" s="142">
        <f>SUM(AS34:AV34)</f>
        <v>737.50998719999996</v>
      </c>
      <c r="L34" s="142">
        <f>SUM(AW34:AZ34)</f>
        <v>1127.44</v>
      </c>
      <c r="M34" s="142">
        <f>SUM(BA34:BD34)</f>
        <v>1234.8533361300001</v>
      </c>
      <c r="N34" s="142">
        <f t="shared" si="51"/>
        <v>1598.0574453199999</v>
      </c>
      <c r="O34" s="142">
        <f>SUM(BI34:BL34)</f>
        <v>3038.3671541621679</v>
      </c>
      <c r="P34" s="142">
        <f>SUM(BM34:BP34)</f>
        <v>3877.0384353935742</v>
      </c>
      <c r="Q34" s="73"/>
      <c r="R34" s="144">
        <f t="shared" si="33"/>
        <v>233.012</v>
      </c>
      <c r="S34" s="144">
        <f t="shared" si="34"/>
        <v>275.39499999999998</v>
      </c>
      <c r="T34" s="144">
        <f t="shared" si="35"/>
        <v>489.63318821000001</v>
      </c>
      <c r="U34" s="144">
        <f t="shared" si="36"/>
        <v>837.80799999999999</v>
      </c>
      <c r="V34" s="144">
        <f>SUM(BA34:BC34)</f>
        <v>965.81933613000012</v>
      </c>
      <c r="W34" s="144">
        <f>SUM(BE34:BG34)</f>
        <v>1117.11042475</v>
      </c>
      <c r="X34" s="144">
        <f>SUM(BI34:BK34)</f>
        <v>2187.8768372494656</v>
      </c>
      <c r="Y34" s="144">
        <f>SUM(BM34:BO34)</f>
        <v>2924.3774353935742</v>
      </c>
      <c r="Z34" s="73"/>
      <c r="AA34" s="144">
        <f t="shared" si="37"/>
        <v>144.37</v>
      </c>
      <c r="AB34" s="144">
        <f t="shared" si="38"/>
        <v>170.3</v>
      </c>
      <c r="AC34" s="144">
        <f t="shared" si="39"/>
        <v>274.50238755999999</v>
      </c>
      <c r="AD34" s="144">
        <f t="shared" si="40"/>
        <v>538.15700000000004</v>
      </c>
      <c r="AE34" s="144">
        <f>SUM(BA34:BB34)</f>
        <v>624.69033613000011</v>
      </c>
      <c r="AF34" s="144">
        <f>SUM(BE34:BF34)</f>
        <v>684.30940641999996</v>
      </c>
      <c r="AG34" s="143">
        <f>SUM(BI34:BJ34)</f>
        <v>1350.7419061999999</v>
      </c>
      <c r="AH34" s="143">
        <f>SUM(BM34:BN34)</f>
        <v>1900.826435393574</v>
      </c>
      <c r="AI34" s="143">
        <f>SUM(BQ34:BR34)</f>
        <v>1920.4126067986958</v>
      </c>
      <c r="AJ34" s="73"/>
      <c r="AK34" s="57">
        <v>54.311999999999998</v>
      </c>
      <c r="AL34" s="57">
        <v>90.058000000000007</v>
      </c>
      <c r="AM34" s="57">
        <v>88.641999999999996</v>
      </c>
      <c r="AN34" s="57">
        <v>113.41800000000001</v>
      </c>
      <c r="AO34" s="57">
        <v>72.212000000000003</v>
      </c>
      <c r="AP34" s="57">
        <v>98.087999999999994</v>
      </c>
      <c r="AQ34" s="57">
        <v>105.095</v>
      </c>
      <c r="AR34" s="57">
        <v>135.79</v>
      </c>
      <c r="AS34" s="57">
        <v>132.32538755999997</v>
      </c>
      <c r="AT34" s="57">
        <v>142.17699999999999</v>
      </c>
      <c r="AU34" s="57">
        <v>215.13080065000003</v>
      </c>
      <c r="AV34" s="57">
        <v>247.87679898999994</v>
      </c>
      <c r="AW34" s="57">
        <v>211.292</v>
      </c>
      <c r="AX34" s="57">
        <v>326.86500000000001</v>
      </c>
      <c r="AY34" s="57">
        <v>299.65100000000001</v>
      </c>
      <c r="AZ34" s="57">
        <v>289.63200000000001</v>
      </c>
      <c r="BA34" s="57">
        <v>240.97300000000001</v>
      </c>
      <c r="BB34" s="57">
        <v>383.71733613000004</v>
      </c>
      <c r="BC34" s="57">
        <v>341.12900000000002</v>
      </c>
      <c r="BD34" s="57">
        <v>269.03399999999999</v>
      </c>
      <c r="BE34" s="57">
        <v>360.90199999999999</v>
      </c>
      <c r="BF34" s="57">
        <v>323.40740641999997</v>
      </c>
      <c r="BG34" s="82">
        <v>432.80101832999998</v>
      </c>
      <c r="BH34" s="82">
        <v>480.94702057000001</v>
      </c>
      <c r="BI34" s="82">
        <v>591.00390619999996</v>
      </c>
      <c r="BJ34" s="82">
        <v>759.73800000000006</v>
      </c>
      <c r="BK34" s="82">
        <v>837.13493104946554</v>
      </c>
      <c r="BL34" s="82">
        <v>850.49031691270227</v>
      </c>
      <c r="BM34" s="82">
        <v>949.33533282999997</v>
      </c>
      <c r="BN34" s="82">
        <v>951.49110256357403</v>
      </c>
      <c r="BO34" s="82">
        <v>1023.551</v>
      </c>
      <c r="BP34" s="82">
        <v>952.66099999999994</v>
      </c>
      <c r="BQ34" s="82">
        <v>962.90318846533592</v>
      </c>
      <c r="BR34" s="82">
        <v>957.50941833336003</v>
      </c>
    </row>
    <row r="35" spans="1:70" x14ac:dyDescent="0.25">
      <c r="A35" s="72" t="s">
        <v>179</v>
      </c>
      <c r="B35" s="57">
        <v>0</v>
      </c>
      <c r="C35" s="57">
        <v>0</v>
      </c>
      <c r="D35" s="57">
        <v>198.47896661603758</v>
      </c>
      <c r="E35" s="57">
        <v>350.85714259224375</v>
      </c>
      <c r="F35" s="57">
        <v>388.95100000000002</v>
      </c>
      <c r="G35" s="57">
        <v>285.291</v>
      </c>
      <c r="H35" s="57">
        <v>305.79000000000002</v>
      </c>
      <c r="I35" s="142">
        <f>SUM(AK35:AN35)</f>
        <v>521.09800000000007</v>
      </c>
      <c r="J35" s="142">
        <f>SUM(AO35:AR35)</f>
        <v>651.37400000000002</v>
      </c>
      <c r="K35" s="142">
        <f>SUM(AS35:AV35)</f>
        <v>968.44110838999995</v>
      </c>
      <c r="L35" s="142">
        <f>SUM(AW35:AZ35)</f>
        <v>1265.4649999999999</v>
      </c>
      <c r="M35" s="142">
        <f>SUM(BA35:BD35)</f>
        <v>1767.5389999999998</v>
      </c>
      <c r="N35" s="142">
        <f t="shared" si="51"/>
        <v>3091.145918648348</v>
      </c>
      <c r="O35" s="142">
        <f>SUM(BI35:BL35)</f>
        <v>3710.3994869125104</v>
      </c>
      <c r="P35" s="142">
        <f>SUM(BM35:BP35)</f>
        <v>3901.9326368324173</v>
      </c>
      <c r="Q35" s="73"/>
      <c r="R35" s="144">
        <f t="shared" si="33"/>
        <v>371.11900000000003</v>
      </c>
      <c r="S35" s="144">
        <f t="shared" si="34"/>
        <v>436.87800000000004</v>
      </c>
      <c r="T35" s="144">
        <f t="shared" si="35"/>
        <v>613.47292364999998</v>
      </c>
      <c r="U35" s="144">
        <f t="shared" si="36"/>
        <v>894.29099999999994</v>
      </c>
      <c r="V35" s="144">
        <f>SUM(BA35:BC35)</f>
        <v>1208.3979999999999</v>
      </c>
      <c r="W35" s="144">
        <f>SUM(BE35:BG35)</f>
        <v>1910.679609546082</v>
      </c>
      <c r="X35" s="144">
        <f>SUM(BI35:BK35)</f>
        <v>2846.8763805632902</v>
      </c>
      <c r="Y35" s="144">
        <f>SUM(BM35:BO35)</f>
        <v>3027.2896368324173</v>
      </c>
      <c r="Z35" s="73"/>
      <c r="AA35" s="144">
        <f t="shared" si="37"/>
        <v>220.98200000000003</v>
      </c>
      <c r="AB35" s="144">
        <f t="shared" si="38"/>
        <v>244.702</v>
      </c>
      <c r="AC35" s="144">
        <f t="shared" si="39"/>
        <v>363.22079478000001</v>
      </c>
      <c r="AD35" s="144">
        <f t="shared" si="40"/>
        <v>507.82100000000003</v>
      </c>
      <c r="AE35" s="144">
        <f>SUM(BA35:BB35)</f>
        <v>786.75199999999995</v>
      </c>
      <c r="AF35" s="144">
        <f>SUM(BE35:BF35)</f>
        <v>1064.08712485</v>
      </c>
      <c r="AG35" s="143">
        <f>SUM(BI35:BJ35)</f>
        <v>1830.3383752089799</v>
      </c>
      <c r="AH35" s="143">
        <f>SUM(BM35:BN35)</f>
        <v>1845.051636832417</v>
      </c>
      <c r="AI35" s="143">
        <f>SUM(BQ35:BR35)</f>
        <v>1995.1115277105591</v>
      </c>
      <c r="AJ35" s="73"/>
      <c r="AK35" s="57">
        <v>69.245000000000005</v>
      </c>
      <c r="AL35" s="57">
        <v>151.73700000000002</v>
      </c>
      <c r="AM35" s="57">
        <v>150.137</v>
      </c>
      <c r="AN35" s="57">
        <v>149.97900000000001</v>
      </c>
      <c r="AO35" s="57">
        <v>74.034999999999997</v>
      </c>
      <c r="AP35" s="57">
        <v>170.667</v>
      </c>
      <c r="AQ35" s="57">
        <v>192.17600000000002</v>
      </c>
      <c r="AR35" s="57">
        <v>214.49600000000001</v>
      </c>
      <c r="AS35" s="57">
        <v>110.56666670000001</v>
      </c>
      <c r="AT35" s="57">
        <v>252.65412807999999</v>
      </c>
      <c r="AU35" s="57">
        <v>250.25212886999995</v>
      </c>
      <c r="AV35" s="57">
        <v>354.96818474000003</v>
      </c>
      <c r="AW35" s="57">
        <v>169.02</v>
      </c>
      <c r="AX35" s="57">
        <v>338.80099999999999</v>
      </c>
      <c r="AY35" s="57">
        <v>386.46999999999997</v>
      </c>
      <c r="AZ35" s="57">
        <v>371.17399999999998</v>
      </c>
      <c r="BA35" s="57">
        <v>329.74200000000002</v>
      </c>
      <c r="BB35" s="57">
        <v>457.01</v>
      </c>
      <c r="BC35" s="57">
        <v>421.64600000000002</v>
      </c>
      <c r="BD35" s="57">
        <v>559.14099999999996</v>
      </c>
      <c r="BE35" s="57">
        <v>539.64499999999998</v>
      </c>
      <c r="BF35" s="57">
        <v>524.44212485000003</v>
      </c>
      <c r="BG35" s="82">
        <v>846.59248469608201</v>
      </c>
      <c r="BH35" s="82">
        <v>1180.466309102266</v>
      </c>
      <c r="BI35" s="82">
        <v>927.60837520897996</v>
      </c>
      <c r="BJ35" s="82">
        <v>902.73</v>
      </c>
      <c r="BK35" s="82">
        <v>1016.5380053543104</v>
      </c>
      <c r="BL35" s="82">
        <v>863.52310634922003</v>
      </c>
      <c r="BM35" s="82">
        <v>876.14108388920693</v>
      </c>
      <c r="BN35" s="82">
        <v>968.91055294321018</v>
      </c>
      <c r="BO35" s="82">
        <v>1182.2380000000001</v>
      </c>
      <c r="BP35" s="82">
        <v>874.64300000000003</v>
      </c>
      <c r="BQ35" s="82">
        <v>951.15473338804043</v>
      </c>
      <c r="BR35" s="82">
        <v>1043.9567943225186</v>
      </c>
    </row>
    <row r="36" spans="1:70" x14ac:dyDescent="0.25">
      <c r="A36" s="72" t="s">
        <v>347</v>
      </c>
      <c r="B36" s="57"/>
      <c r="C36" s="57"/>
      <c r="D36" s="57"/>
      <c r="E36" s="57"/>
      <c r="F36" s="57"/>
      <c r="G36" s="57"/>
      <c r="H36" s="57"/>
      <c r="I36" s="142"/>
      <c r="J36" s="142"/>
      <c r="K36" s="142"/>
      <c r="L36" s="142"/>
      <c r="M36" s="142"/>
      <c r="N36" s="142"/>
      <c r="O36" s="142"/>
      <c r="P36" s="142"/>
      <c r="Q36" s="73"/>
      <c r="R36" s="144"/>
      <c r="S36" s="144"/>
      <c r="T36" s="144"/>
      <c r="U36" s="144"/>
      <c r="V36" s="144"/>
      <c r="W36" s="144"/>
      <c r="X36" s="144"/>
      <c r="Y36" s="144"/>
      <c r="Z36" s="73"/>
      <c r="AA36" s="144"/>
      <c r="AB36" s="144"/>
      <c r="AC36" s="144"/>
      <c r="AD36" s="144"/>
      <c r="AE36" s="144"/>
      <c r="AF36" s="144"/>
      <c r="AG36" s="143"/>
      <c r="AH36" s="143"/>
      <c r="AI36" s="143">
        <f t="shared" ref="AI36:AI37" si="58">SUM(BQ36:BR36)</f>
        <v>4.4550000000000001</v>
      </c>
      <c r="AJ36" s="73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>
        <v>4.4550000000000001</v>
      </c>
    </row>
    <row r="37" spans="1:70" x14ac:dyDescent="0.25">
      <c r="A37" s="72" t="s">
        <v>348</v>
      </c>
      <c r="B37" s="57"/>
      <c r="C37" s="57"/>
      <c r="D37" s="57"/>
      <c r="E37" s="57"/>
      <c r="F37" s="57"/>
      <c r="G37" s="57"/>
      <c r="H37" s="57"/>
      <c r="I37" s="142"/>
      <c r="J37" s="142"/>
      <c r="K37" s="142"/>
      <c r="L37" s="142"/>
      <c r="M37" s="142"/>
      <c r="N37" s="142"/>
      <c r="O37" s="142"/>
      <c r="P37" s="142"/>
      <c r="Q37" s="73"/>
      <c r="R37" s="144"/>
      <c r="S37" s="144"/>
      <c r="T37" s="144"/>
      <c r="U37" s="144"/>
      <c r="V37" s="144"/>
      <c r="W37" s="144"/>
      <c r="X37" s="144"/>
      <c r="Y37" s="144"/>
      <c r="Z37" s="73"/>
      <c r="AA37" s="144"/>
      <c r="AB37" s="144"/>
      <c r="AC37" s="144"/>
      <c r="AD37" s="144"/>
      <c r="AE37" s="144"/>
      <c r="AF37" s="144"/>
      <c r="AG37" s="143"/>
      <c r="AH37" s="143"/>
      <c r="AI37" s="143">
        <f t="shared" si="58"/>
        <v>4.1996573000000001</v>
      </c>
      <c r="AJ37" s="73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2">
        <v>4.1996573000000001</v>
      </c>
    </row>
    <row r="38" spans="1:70" x14ac:dyDescent="0.25">
      <c r="A38" s="72"/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64"/>
      <c r="BK38" s="64"/>
      <c r="BL38" s="64"/>
      <c r="BM38" s="64"/>
      <c r="BN38" s="64"/>
    </row>
    <row r="39" spans="1:70" x14ac:dyDescent="0.25">
      <c r="A39" s="66" t="s">
        <v>180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164"/>
      <c r="R39" s="70"/>
      <c r="S39" s="70"/>
      <c r="T39" s="70"/>
      <c r="U39" s="70"/>
      <c r="V39" s="70"/>
      <c r="W39" s="70"/>
      <c r="X39" s="70"/>
      <c r="Y39" s="52"/>
      <c r="AA39" s="70"/>
      <c r="AB39" s="70"/>
      <c r="AC39" s="70"/>
      <c r="AD39" s="70"/>
      <c r="AE39" s="70"/>
      <c r="AF39" s="70"/>
      <c r="AG39" s="70"/>
      <c r="AH39" s="70"/>
      <c r="AI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  <c r="BM39" s="70"/>
      <c r="BN39" s="70"/>
      <c r="BO39" s="70"/>
      <c r="BP39" s="70"/>
      <c r="BQ39" s="70"/>
      <c r="BR39" s="70"/>
    </row>
    <row r="40" spans="1:70" x14ac:dyDescent="0.25">
      <c r="A40" s="62" t="s">
        <v>160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R40" s="18"/>
      <c r="S40" s="18"/>
      <c r="T40" s="18"/>
      <c r="U40" s="18"/>
      <c r="V40" s="18"/>
      <c r="W40" s="18"/>
      <c r="X40" s="18"/>
      <c r="Y40" s="18"/>
      <c r="AA40" s="18"/>
      <c r="AB40" s="18"/>
      <c r="AC40" s="18"/>
      <c r="AD40" s="18"/>
      <c r="AE40" s="18"/>
      <c r="AF40" s="18"/>
      <c r="AG40" s="18"/>
      <c r="AH40" s="18"/>
      <c r="AI40" s="18"/>
    </row>
    <row r="41" spans="1:70" x14ac:dyDescent="0.25">
      <c r="A41" s="72" t="s">
        <v>181</v>
      </c>
      <c r="B41" s="83">
        <f t="shared" ref="B41:L41" si="59">B24/B5</f>
        <v>1.4336008103815883</v>
      </c>
      <c r="C41" s="83">
        <f t="shared" si="59"/>
        <v>2.1576438834287739</v>
      </c>
      <c r="D41" s="83">
        <f t="shared" si="59"/>
        <v>2.4442722707473918</v>
      </c>
      <c r="E41" s="83">
        <f t="shared" si="59"/>
        <v>3.2691310109954337</v>
      </c>
      <c r="F41" s="83">
        <f t="shared" si="59"/>
        <v>3.8429485021878156</v>
      </c>
      <c r="G41" s="83">
        <f t="shared" si="59"/>
        <v>7.4693686006825928</v>
      </c>
      <c r="H41" s="83">
        <f t="shared" si="59"/>
        <v>6.7612596348870051</v>
      </c>
      <c r="I41" s="83">
        <f t="shared" si="59"/>
        <v>5.9770826029453525</v>
      </c>
      <c r="J41" s="83">
        <f t="shared" si="59"/>
        <v>7.0366562994152622</v>
      </c>
      <c r="K41" s="83">
        <f t="shared" si="59"/>
        <v>7.2514957993057747</v>
      </c>
      <c r="L41" s="83">
        <f t="shared" si="59"/>
        <v>8.7100746471966417</v>
      </c>
      <c r="M41" s="83">
        <f t="shared" ref="M41:N41" si="60">M24/M5</f>
        <v>10.316873071063016</v>
      </c>
      <c r="N41" s="83">
        <f t="shared" si="60"/>
        <v>10.178126134306334</v>
      </c>
      <c r="O41" s="83">
        <f>O24/O5</f>
        <v>17.232000906007308</v>
      </c>
      <c r="P41" s="83">
        <f>P24/P5</f>
        <v>20.5905636327198</v>
      </c>
      <c r="Q41" s="73"/>
      <c r="R41" s="83">
        <f t="shared" ref="R41:Y41" si="61">R24/R5</f>
        <v>3.7520380568019127</v>
      </c>
      <c r="S41" s="83">
        <f t="shared" si="61"/>
        <v>5.1694237408811707</v>
      </c>
      <c r="T41" s="83">
        <f t="shared" si="61"/>
        <v>5.2483806537862838</v>
      </c>
      <c r="U41" s="83">
        <f t="shared" si="61"/>
        <v>6.6198505460816239</v>
      </c>
      <c r="V41" s="83">
        <f t="shared" si="61"/>
        <v>8.682663831726023</v>
      </c>
      <c r="W41" s="83">
        <f t="shared" si="61"/>
        <v>7.5311237576538632</v>
      </c>
      <c r="X41" s="83">
        <f t="shared" si="61"/>
        <v>13.677770336446441</v>
      </c>
      <c r="Y41" s="83">
        <f t="shared" si="61"/>
        <v>18.503713764053405</v>
      </c>
      <c r="Z41" s="73"/>
      <c r="AA41" s="83">
        <f t="shared" ref="AA41:AI41" si="62">AA24/AA5</f>
        <v>0.41830428100987932</v>
      </c>
      <c r="AB41" s="83">
        <f t="shared" si="62"/>
        <v>1.791201511809329</v>
      </c>
      <c r="AC41" s="83">
        <f t="shared" si="62"/>
        <v>1.1554037315875616</v>
      </c>
      <c r="AD41" s="83">
        <f t="shared" si="62"/>
        <v>3.9017101112402455</v>
      </c>
      <c r="AE41" s="83">
        <f t="shared" si="62"/>
        <v>4.2186491470723837</v>
      </c>
      <c r="AF41" s="83">
        <f t="shared" si="62"/>
        <v>4.0122336066573618</v>
      </c>
      <c r="AG41" s="83">
        <f t="shared" si="62"/>
        <v>6.9887452251272331</v>
      </c>
      <c r="AH41" s="83">
        <f t="shared" si="62"/>
        <v>7.8387459719011447</v>
      </c>
      <c r="AI41" s="83">
        <f t="shared" si="62"/>
        <v>20.033850074792042</v>
      </c>
      <c r="AJ41" s="73"/>
      <c r="AK41" s="83">
        <f t="shared" ref="AK41:BB41" si="63">AK24/AK5</f>
        <v>-2.8562580528492956</v>
      </c>
      <c r="AL41" s="83">
        <f t="shared" si="63"/>
        <v>0.69416303586118633</v>
      </c>
      <c r="AM41" s="83">
        <f t="shared" si="63"/>
        <v>6.1032523064421831</v>
      </c>
      <c r="AN41" s="83">
        <f t="shared" si="63"/>
        <v>7.5935459085670374</v>
      </c>
      <c r="AO41" s="83">
        <f t="shared" si="63"/>
        <v>0.6970168685610777</v>
      </c>
      <c r="AP41" s="83">
        <f t="shared" si="63"/>
        <v>1.9387239563458749</v>
      </c>
      <c r="AQ41" s="83">
        <f t="shared" si="63"/>
        <v>7.616915641048128</v>
      </c>
      <c r="AR41" s="83">
        <f t="shared" si="63"/>
        <v>9.277702611054595</v>
      </c>
      <c r="AS41" s="83">
        <f t="shared" si="63"/>
        <v>4.6628747152619603</v>
      </c>
      <c r="AT41" s="83">
        <f t="shared" si="63"/>
        <v>0.85109943083003958</v>
      </c>
      <c r="AU41" s="83">
        <f t="shared" si="63"/>
        <v>9.3994835853928436</v>
      </c>
      <c r="AV41" s="83">
        <f t="shared" si="63"/>
        <v>11.694229451665313</v>
      </c>
      <c r="AW41" s="83">
        <f t="shared" si="63"/>
        <v>9.2658662092624358</v>
      </c>
      <c r="AX41" s="83">
        <f t="shared" si="63"/>
        <v>3.326838235294117</v>
      </c>
      <c r="AY41" s="83">
        <f t="shared" si="63"/>
        <v>10.32797281993205</v>
      </c>
      <c r="AZ41" s="83">
        <f t="shared" si="63"/>
        <v>11.466582438408086</v>
      </c>
      <c r="BA41" s="83">
        <f t="shared" si="63"/>
        <v>8.609595484477893</v>
      </c>
      <c r="BB41" s="83">
        <f t="shared" si="63"/>
        <v>3.6055431498752135</v>
      </c>
      <c r="BC41" s="83">
        <f t="shared" ref="BC41:BD41" si="64">BC24/BC5</f>
        <v>17.302693078121521</v>
      </c>
      <c r="BD41" s="83">
        <f t="shared" si="64"/>
        <v>12.048519472159638</v>
      </c>
      <c r="BE41" s="83">
        <f t="shared" ref="BE41:BF41" si="65">BE24/BE5</f>
        <v>10.750208159866776</v>
      </c>
      <c r="BF41" s="83">
        <f t="shared" si="65"/>
        <v>3.3281615057148626</v>
      </c>
      <c r="BG41" s="83">
        <f t="shared" ref="BG41:BH41" si="66">BG24/BG5</f>
        <v>13.904862140910835</v>
      </c>
      <c r="BH41" s="83">
        <f t="shared" si="66"/>
        <v>14.055776977582925</v>
      </c>
      <c r="BI41" s="83">
        <f t="shared" ref="BI41:BJ41" si="67">BI24/BI5</f>
        <v>19.024958206292485</v>
      </c>
      <c r="BJ41" s="83">
        <f t="shared" si="67"/>
        <v>4.6020795510810366</v>
      </c>
      <c r="BK41" s="83">
        <f t="shared" ref="BK41:BP41" si="68">BK24/BK5</f>
        <v>31.041115480872364</v>
      </c>
      <c r="BL41" s="83">
        <f t="shared" si="68"/>
        <v>21.254986025936791</v>
      </c>
      <c r="BM41" s="83">
        <f t="shared" si="68"/>
        <v>11.865940439143058</v>
      </c>
      <c r="BN41" s="83">
        <f t="shared" si="68"/>
        <v>5.8624095050605014</v>
      </c>
      <c r="BO41" s="83">
        <f t="shared" si="68"/>
        <v>41.757170286761088</v>
      </c>
      <c r="BP41" s="83">
        <f t="shared" si="68"/>
        <v>23.797729812729266</v>
      </c>
      <c r="BQ41" s="83">
        <f t="shared" ref="BQ41:BR41" si="69">BQ24/BQ5</f>
        <v>29.800627568744268</v>
      </c>
      <c r="BR41" s="83">
        <f t="shared" si="69"/>
        <v>13.423449173064389</v>
      </c>
    </row>
    <row r="42" spans="1:70" x14ac:dyDescent="0.25">
      <c r="A42" s="72" t="s">
        <v>182</v>
      </c>
      <c r="B42" s="83">
        <f t="shared" ref="B42:L42" si="70">B25/B6</f>
        <v>1.0864978132535985</v>
      </c>
      <c r="C42" s="83">
        <f t="shared" si="70"/>
        <v>1.3971735009992097</v>
      </c>
      <c r="D42" s="83">
        <f t="shared" si="70"/>
        <v>1.3246035846497024</v>
      </c>
      <c r="E42" s="83">
        <f t="shared" si="70"/>
        <v>1.2748426253372056</v>
      </c>
      <c r="F42" s="83">
        <f t="shared" si="70"/>
        <v>1.5657098890764922</v>
      </c>
      <c r="G42" s="83">
        <f t="shared" si="70"/>
        <v>1.4578181818181817</v>
      </c>
      <c r="H42" s="83">
        <f t="shared" si="70"/>
        <v>1.403205461</v>
      </c>
      <c r="I42" s="83">
        <f t="shared" si="70"/>
        <v>1.7713939782797639</v>
      </c>
      <c r="J42" s="83">
        <f t="shared" si="70"/>
        <v>1.6665043000782556</v>
      </c>
      <c r="K42" s="83">
        <f t="shared" si="70"/>
        <v>1.6148828360594096</v>
      </c>
      <c r="L42" s="83">
        <f t="shared" si="70"/>
        <v>3.0414985106201402</v>
      </c>
      <c r="M42" s="83">
        <f t="shared" ref="M42:N42" si="71">M25/M6</f>
        <v>4.5546329803682317</v>
      </c>
      <c r="N42" s="83">
        <f t="shared" si="71"/>
        <v>2.841858079916165</v>
      </c>
      <c r="O42" s="83">
        <f>O25/O6</f>
        <v>2.4880968943304245</v>
      </c>
      <c r="P42" s="83">
        <f>P25/P6</f>
        <v>2.8353985593628441</v>
      </c>
      <c r="Q42" s="73"/>
      <c r="R42" s="83">
        <f>R25/R6</f>
        <v>1.704240550840642</v>
      </c>
      <c r="S42" s="83">
        <f>S25/S6</f>
        <v>1.6025479747516236</v>
      </c>
      <c r="T42" s="83">
        <f>T25/T6</f>
        <v>1.5285144076676784</v>
      </c>
      <c r="U42" s="83">
        <f>U25/U6</f>
        <v>2.7429562895720934</v>
      </c>
      <c r="V42" s="83">
        <f t="shared" ref="V42" si="72">V25/V6</f>
        <v>4.7316135013907337</v>
      </c>
      <c r="W42" s="83">
        <f>W25/W6</f>
        <v>2.9103329152839748</v>
      </c>
      <c r="X42" s="83">
        <f t="shared" ref="X42:Y42" si="73">X25/X6</f>
        <v>2.4966080756043829</v>
      </c>
      <c r="Y42" s="83">
        <f t="shared" si="73"/>
        <v>2.8001524112705747</v>
      </c>
      <c r="Z42" s="73"/>
      <c r="AA42" s="83">
        <f>AA25/AA6</f>
        <v>1.4877919463364977</v>
      </c>
      <c r="AB42" s="83">
        <f>AB25/AB6</f>
        <v>1.3461739460399345</v>
      </c>
      <c r="AC42" s="83">
        <f>AC25/AC6</f>
        <v>0.86491057537628435</v>
      </c>
      <c r="AD42" s="83">
        <f>AD25/AD6</f>
        <v>2.4770914064280829</v>
      </c>
      <c r="AE42" s="83">
        <f t="shared" ref="AE42" si="74">AE25/AE6</f>
        <v>4.6567915119049381</v>
      </c>
      <c r="AF42" s="83">
        <f>AF25/AF6</f>
        <v>3.1530658170168717</v>
      </c>
      <c r="AG42" s="83">
        <f>AG25/AG6</f>
        <v>2.4718780080050675</v>
      </c>
      <c r="AH42" s="83">
        <f>AH25/AH6</f>
        <v>2.6052683616707788</v>
      </c>
      <c r="AI42" s="83">
        <f>AI25/AI6</f>
        <v>2.6399383557604406</v>
      </c>
      <c r="AJ42" s="73"/>
      <c r="AK42" s="83">
        <f t="shared" ref="AK42:BB42" si="75">AK25/AK6</f>
        <v>1.3954442298406566</v>
      </c>
      <c r="AL42" s="83">
        <f t="shared" si="75"/>
        <v>1.5129727352682498</v>
      </c>
      <c r="AM42" s="83">
        <f t="shared" si="75"/>
        <v>1.8226226457877701</v>
      </c>
      <c r="AN42" s="83">
        <f t="shared" si="75"/>
        <v>1.9057062887408431</v>
      </c>
      <c r="AO42" s="83">
        <f t="shared" si="75"/>
        <v>1.2499264510839421</v>
      </c>
      <c r="AP42" s="83">
        <f t="shared" si="75"/>
        <v>1.3739704265317763</v>
      </c>
      <c r="AQ42" s="83">
        <f t="shared" si="75"/>
        <v>1.8237417026086471</v>
      </c>
      <c r="AR42" s="83">
        <f t="shared" si="75"/>
        <v>1.8266290695407585</v>
      </c>
      <c r="AS42" s="83">
        <f t="shared" si="75"/>
        <v>1.4715754019607843</v>
      </c>
      <c r="AT42" s="83">
        <f t="shared" si="75"/>
        <v>0.72923567993568528</v>
      </c>
      <c r="AU42" s="83">
        <f t="shared" si="75"/>
        <v>2.0045629857034721</v>
      </c>
      <c r="AV42" s="83">
        <f t="shared" si="75"/>
        <v>1.8789736605212963</v>
      </c>
      <c r="AW42" s="83">
        <f t="shared" si="75"/>
        <v>2.2417228244945795</v>
      </c>
      <c r="AX42" s="83">
        <f t="shared" si="75"/>
        <v>2.5404808248724291</v>
      </c>
      <c r="AY42" s="83">
        <f t="shared" si="75"/>
        <v>2.9080567983643575</v>
      </c>
      <c r="AZ42" s="83">
        <f t="shared" si="75"/>
        <v>3.6941369922446987</v>
      </c>
      <c r="BA42" s="83">
        <f t="shared" si="75"/>
        <v>4.7373667744843306</v>
      </c>
      <c r="BB42" s="83">
        <f t="shared" si="75"/>
        <v>4.6256003941048478</v>
      </c>
      <c r="BC42" s="83">
        <f t="shared" ref="BC42:BD42" si="76">BC25/BC6</f>
        <v>4.7865422428870952</v>
      </c>
      <c r="BD42" s="83">
        <f t="shared" si="76"/>
        <v>4.2000677727854621</v>
      </c>
      <c r="BE42" s="83">
        <f t="shared" ref="BE42:BF42" si="77">BE25/BE6</f>
        <v>3.6341558247345591</v>
      </c>
      <c r="BF42" s="83">
        <f t="shared" si="77"/>
        <v>2.9325804794824313</v>
      </c>
      <c r="BG42" s="83">
        <f t="shared" ref="BG42:BH42" si="78">BG25/BG6</f>
        <v>2.7398345625351417</v>
      </c>
      <c r="BH42" s="83">
        <f t="shared" si="78"/>
        <v>2.6602447834173248</v>
      </c>
      <c r="BI42" s="83">
        <f t="shared" ref="BI42:BJ42" si="79">BI25/BI6</f>
        <v>2.5131965628283086</v>
      </c>
      <c r="BJ42" s="83">
        <f t="shared" si="79"/>
        <v>2.4475217940930207</v>
      </c>
      <c r="BK42" s="83">
        <f t="shared" ref="BK42:BL42" si="80">BK25/BK6</f>
        <v>2.5093217503969241</v>
      </c>
      <c r="BL42" s="83">
        <f t="shared" si="80"/>
        <v>2.4722662073340835</v>
      </c>
      <c r="BM42" s="83">
        <f t="shared" ref="BM42:BN42" si="81">BM25/BM6</f>
        <v>2.5545533866530805</v>
      </c>
      <c r="BN42" s="83">
        <f t="shared" si="81"/>
        <v>2.6364115403242065</v>
      </c>
      <c r="BO42" s="83">
        <f t="shared" ref="BO42:BP42" si="82">BO25/BO6</f>
        <v>2.9434885094185002</v>
      </c>
      <c r="BP42" s="83">
        <f t="shared" si="82"/>
        <v>2.919078833338359</v>
      </c>
      <c r="BQ42" s="83">
        <f t="shared" ref="BQ42:BR42" si="83">BQ25/BQ6</f>
        <v>2.4059347452495605</v>
      </c>
      <c r="BR42" s="83">
        <f t="shared" si="83"/>
        <v>2.8360363773168578</v>
      </c>
    </row>
    <row r="43" spans="1:70" x14ac:dyDescent="0.25">
      <c r="A43" s="72" t="s">
        <v>183</v>
      </c>
      <c r="B43" s="83">
        <f>(B26*1000)/B7</f>
        <v>27.073381582854928</v>
      </c>
      <c r="C43" s="83">
        <f t="shared" ref="C43:L43" si="84">(C26*1000)/C7</f>
        <v>28.119342402133039</v>
      </c>
      <c r="D43" s="83">
        <f t="shared" si="84"/>
        <v>35.016913052022758</v>
      </c>
      <c r="E43" s="83">
        <f t="shared" si="84"/>
        <v>40.16848191974389</v>
      </c>
      <c r="F43" s="83">
        <f t="shared" si="84"/>
        <v>37.984158415841584</v>
      </c>
      <c r="G43" s="83">
        <f t="shared" si="84"/>
        <v>39.055335968379445</v>
      </c>
      <c r="H43" s="83">
        <f t="shared" si="84"/>
        <v>36.339217311652234</v>
      </c>
      <c r="I43" s="83">
        <f t="shared" si="84"/>
        <v>46.004083896807593</v>
      </c>
      <c r="J43" s="83">
        <f t="shared" si="84"/>
        <v>43.525604719332826</v>
      </c>
      <c r="K43" s="83">
        <f t="shared" si="84"/>
        <v>44.847805028300876</v>
      </c>
      <c r="L43" s="83">
        <f t="shared" si="84"/>
        <v>56.807021805956822</v>
      </c>
      <c r="M43" s="83">
        <f t="shared" ref="M43:N43" si="85">(M26*1000)/M7</f>
        <v>82.883958216654392</v>
      </c>
      <c r="N43" s="83">
        <f t="shared" si="85"/>
        <v>62.635953831738895</v>
      </c>
      <c r="O43" s="83">
        <f>(O26*1000)/O7</f>
        <v>53.998629902732411</v>
      </c>
      <c r="P43" s="83">
        <f>(P26*1000)/P7</f>
        <v>51.467886158625127</v>
      </c>
      <c r="Q43" s="73"/>
      <c r="R43" s="83">
        <f t="shared" ref="R43:W43" si="86">(R26*1000)/R7</f>
        <v>43.437540035183588</v>
      </c>
      <c r="S43" s="83">
        <f t="shared" si="86"/>
        <v>47.064127538388909</v>
      </c>
      <c r="T43" s="83">
        <f t="shared" si="86"/>
        <v>44.205239304321509</v>
      </c>
      <c r="U43" s="83">
        <f t="shared" si="86"/>
        <v>51.285618292636059</v>
      </c>
      <c r="V43" s="83">
        <f t="shared" si="86"/>
        <v>82.686543742840755</v>
      </c>
      <c r="W43" s="83">
        <f t="shared" si="86"/>
        <v>63.031582003854673</v>
      </c>
      <c r="X43" s="83">
        <f t="shared" ref="X43:Y43" si="87">(X26*1000)/X7</f>
        <v>52.397004338707482</v>
      </c>
      <c r="Y43" s="83">
        <f t="shared" si="87"/>
        <v>47.075445851557703</v>
      </c>
      <c r="Z43" s="73"/>
      <c r="AA43" s="83">
        <f t="shared" ref="AA43:AF43" si="88">(AA26*1000)/AA7</f>
        <v>54.276913646505477</v>
      </c>
      <c r="AB43" s="83">
        <f t="shared" si="88"/>
        <v>60.219459784715362</v>
      </c>
      <c r="AC43" s="83">
        <f t="shared" si="88"/>
        <v>55.730015213647768</v>
      </c>
      <c r="AD43" s="83">
        <f t="shared" si="88"/>
        <v>53.048971874856186</v>
      </c>
      <c r="AE43" s="83">
        <f t="shared" si="88"/>
        <v>83.265039155202203</v>
      </c>
      <c r="AF43" s="83">
        <f t="shared" si="88"/>
        <v>66.604378419597921</v>
      </c>
      <c r="AG43" s="83">
        <f>(AG26*1000)/AG7</f>
        <v>57.759991527852506</v>
      </c>
      <c r="AH43" s="83">
        <f>(AH26*1000)/AH7</f>
        <v>47.657448242183463</v>
      </c>
      <c r="AI43" s="83">
        <f>(AI26*1000)/AI7</f>
        <v>51.235268432392814</v>
      </c>
      <c r="AJ43" s="73"/>
      <c r="AK43" s="83">
        <f t="shared" ref="AK43:AY43" si="89">(AK26*1000)/AK7</f>
        <v>67.879736545188436</v>
      </c>
      <c r="AL43" s="83">
        <f t="shared" si="89"/>
        <v>11.921749733491399</v>
      </c>
      <c r="AM43" s="83">
        <f t="shared" si="89"/>
        <v>29.011425140917744</v>
      </c>
      <c r="AN43" s="83">
        <f t="shared" si="89"/>
        <v>50.047341514061515</v>
      </c>
      <c r="AO43" s="83">
        <f t="shared" si="89"/>
        <v>76.415602778476256</v>
      </c>
      <c r="AP43" s="83">
        <f t="shared" si="89"/>
        <v>5.8539075155494968</v>
      </c>
      <c r="AQ43" s="83">
        <f t="shared" si="89"/>
        <v>31.49722132601589</v>
      </c>
      <c r="AR43" s="83">
        <f t="shared" si="89"/>
        <v>38.678547231474461</v>
      </c>
      <c r="AS43" s="83">
        <f t="shared" si="89"/>
        <v>73.69930606464149</v>
      </c>
      <c r="AT43" s="83">
        <f t="shared" si="89"/>
        <v>20.961067455561558</v>
      </c>
      <c r="AU43" s="83">
        <f t="shared" si="89"/>
        <v>31.525330432334293</v>
      </c>
      <c r="AV43" s="83">
        <f t="shared" si="89"/>
        <v>45.819683400446557</v>
      </c>
      <c r="AW43" s="83">
        <f t="shared" si="89"/>
        <v>64.269901587896356</v>
      </c>
      <c r="AX43" s="83">
        <f t="shared" si="89"/>
        <v>26.149891378815649</v>
      </c>
      <c r="AY43" s="83">
        <f t="shared" si="89"/>
        <v>48.414952293832158</v>
      </c>
      <c r="AZ43" s="83">
        <f t="shared" ref="AZ43:BD43" si="90">(AZ26*1000)/AZ7</f>
        <v>67.155724461649953</v>
      </c>
      <c r="BA43" s="83">
        <f t="shared" si="90"/>
        <v>85.510507101696817</v>
      </c>
      <c r="BB43" s="83">
        <f t="shared" si="90"/>
        <v>78.184820801124388</v>
      </c>
      <c r="BC43" s="83">
        <f t="shared" si="90"/>
        <v>81.79925994449583</v>
      </c>
      <c r="BD43" s="83">
        <f t="shared" si="90"/>
        <v>83.113912515188332</v>
      </c>
      <c r="BE43" s="83">
        <f t="shared" ref="BE43:BJ43" si="91">(BE26*1000)/BE7</f>
        <v>79.377082799282235</v>
      </c>
      <c r="BF43" s="83">
        <f t="shared" si="91"/>
        <v>42.420964997814757</v>
      </c>
      <c r="BG43" s="83">
        <f t="shared" si="91"/>
        <v>57.447081607005806</v>
      </c>
      <c r="BH43" s="83">
        <f t="shared" si="91"/>
        <v>62.215287958250435</v>
      </c>
      <c r="BI43" s="83">
        <f t="shared" si="91"/>
        <v>65.112898967987917</v>
      </c>
      <c r="BJ43" s="83">
        <f t="shared" si="91"/>
        <v>30.002517623363545</v>
      </c>
      <c r="BK43" s="83">
        <f t="shared" ref="BK43:BL43" si="92">(BK26*1000)/BK7</f>
        <v>41.692800129313284</v>
      </c>
      <c r="BL43" s="83">
        <f t="shared" si="92"/>
        <v>55.941519115282588</v>
      </c>
      <c r="BM43" s="83">
        <f t="shared" ref="BM43:BN43" si="93">(BM26*1000)/BM7</f>
        <v>52.137920005138255</v>
      </c>
      <c r="BN43" s="83">
        <f t="shared" si="93"/>
        <v>33.732586596174386</v>
      </c>
      <c r="BO43" s="83">
        <f t="shared" ref="BO43:BP43" si="94">(BO26*1000)/BO7</f>
        <v>45.979533378194908</v>
      </c>
      <c r="BP43" s="83">
        <f t="shared" si="94"/>
        <v>58.02672044543116</v>
      </c>
      <c r="BQ43" s="83">
        <f t="shared" ref="BQ43:BR43" si="95">(BQ26*1000)/BQ7</f>
        <v>57.203727450571222</v>
      </c>
      <c r="BR43" s="83">
        <f t="shared" si="95"/>
        <v>32.918209393306952</v>
      </c>
    </row>
    <row r="44" spans="1:70" x14ac:dyDescent="0.25">
      <c r="A44" s="72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73"/>
      <c r="R44" s="83"/>
      <c r="S44" s="83"/>
      <c r="T44" s="83"/>
      <c r="U44" s="83"/>
      <c r="V44" s="83"/>
      <c r="W44" s="83"/>
      <c r="X44" s="83"/>
      <c r="Y44" s="83"/>
      <c r="Z44" s="73"/>
      <c r="AA44" s="83"/>
      <c r="AB44" s="83"/>
      <c r="AC44" s="83"/>
      <c r="AD44" s="83"/>
      <c r="AE44" s="83"/>
      <c r="AF44" s="83"/>
      <c r="AG44" s="83"/>
      <c r="AH44" s="83"/>
      <c r="AI44" s="83"/>
      <c r="AJ44" s="7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  <c r="BN44" s="83"/>
    </row>
    <row r="45" spans="1:70" x14ac:dyDescent="0.25">
      <c r="A45" s="62" t="s">
        <v>163</v>
      </c>
      <c r="B45" s="83">
        <f t="shared" ref="B45:L45" si="96">B28/B9</f>
        <v>0.77621800823491849</v>
      </c>
      <c r="C45" s="83">
        <f t="shared" si="96"/>
        <v>0.9171263825256547</v>
      </c>
      <c r="D45" s="83">
        <f t="shared" si="96"/>
        <v>1.0101680831916988</v>
      </c>
      <c r="E45" s="83">
        <f t="shared" si="96"/>
        <v>0.78561258133968326</v>
      </c>
      <c r="F45" s="83">
        <f t="shared" si="96"/>
        <v>0.85876594842528375</v>
      </c>
      <c r="G45" s="83">
        <f t="shared" si="96"/>
        <v>1.1879015986388424</v>
      </c>
      <c r="H45" s="83">
        <f t="shared" si="96"/>
        <v>1.0102340271374015</v>
      </c>
      <c r="I45" s="83">
        <f t="shared" si="96"/>
        <v>1.1920165002309515</v>
      </c>
      <c r="J45" s="83">
        <f t="shared" si="96"/>
        <v>1.0568037679626503</v>
      </c>
      <c r="K45" s="83">
        <f t="shared" si="96"/>
        <v>1.2862051090280866</v>
      </c>
      <c r="L45" s="83">
        <f t="shared" si="96"/>
        <v>2.105299659472514</v>
      </c>
      <c r="M45" s="83">
        <f t="shared" ref="M45:N45" si="97">M28/M9</f>
        <v>2.2084915644649197</v>
      </c>
      <c r="N45" s="83">
        <f t="shared" si="97"/>
        <v>1.7174580507397323</v>
      </c>
      <c r="O45" s="83">
        <f t="shared" ref="O45:P48" si="98">O28/O9</f>
        <v>1.737805124705438</v>
      </c>
      <c r="P45" s="83">
        <f t="shared" si="98"/>
        <v>1.7346983601737707</v>
      </c>
      <c r="Q45" s="73"/>
      <c r="R45" s="83">
        <f t="shared" ref="R45:W45" si="99">R28/R9</f>
        <v>1.3410756213040957</v>
      </c>
      <c r="S45" s="83">
        <f t="shared" si="99"/>
        <v>1.0471265872558588</v>
      </c>
      <c r="T45" s="83">
        <f t="shared" si="99"/>
        <v>1.2888908380813335</v>
      </c>
      <c r="U45" s="83">
        <f t="shared" si="99"/>
        <v>2.0961435910823369</v>
      </c>
      <c r="V45" s="83">
        <f t="shared" si="99"/>
        <v>2.3242730636768365</v>
      </c>
      <c r="W45" s="83">
        <f t="shared" si="99"/>
        <v>1.8058239774629163</v>
      </c>
      <c r="X45" s="83">
        <f t="shared" ref="X45:Y45" si="100">X28/X9</f>
        <v>1.6549107622141077</v>
      </c>
      <c r="Y45" s="83">
        <f t="shared" si="100"/>
        <v>1.7903808650786348</v>
      </c>
      <c r="Z45" s="73"/>
      <c r="AA45" s="83">
        <f>AA28/AA9</f>
        <v>1.2139600331515894</v>
      </c>
      <c r="AB45" s="83">
        <f t="shared" ref="AB45:AY45" si="101">AB28/AB9</f>
        <v>1.0470824709797319</v>
      </c>
      <c r="AC45" s="83">
        <f t="shared" si="101"/>
        <v>1.2366369053241584</v>
      </c>
      <c r="AD45" s="83">
        <f t="shared" si="101"/>
        <v>1.8390811233109734</v>
      </c>
      <c r="AE45" s="83">
        <f>AE28/AE9</f>
        <v>2.1394527133598271</v>
      </c>
      <c r="AF45" s="83">
        <f>AF28/AF9</f>
        <v>1.9177745860459416</v>
      </c>
      <c r="AG45" s="83">
        <f>AG28/AG9</f>
        <v>1.6516043523040667</v>
      </c>
      <c r="AH45" s="83">
        <f>AH28/AH9</f>
        <v>1.8624539252588874</v>
      </c>
      <c r="AI45" s="83">
        <f>AI28/AI9</f>
        <v>1.935366351463615</v>
      </c>
      <c r="AJ45" s="73"/>
      <c r="AK45" s="83">
        <f t="shared" si="101"/>
        <v>0.76329673622908278</v>
      </c>
      <c r="AL45" s="83">
        <f t="shared" si="101"/>
        <v>1.4959373298019425</v>
      </c>
      <c r="AM45" s="83">
        <f t="shared" si="101"/>
        <v>1.6558203930281972</v>
      </c>
      <c r="AN45" s="83">
        <f t="shared" si="101"/>
        <v>0.59664965419094074</v>
      </c>
      <c r="AO45" s="83">
        <f t="shared" si="101"/>
        <v>0.89964818394414325</v>
      </c>
      <c r="AP45" s="83">
        <f t="shared" si="101"/>
        <v>1.1592164129224947</v>
      </c>
      <c r="AQ45" s="83">
        <f t="shared" si="101"/>
        <v>1.0472666009990264</v>
      </c>
      <c r="AR45" s="83">
        <f t="shared" si="101"/>
        <v>1.1282695980976885</v>
      </c>
      <c r="AS45" s="83">
        <f t="shared" si="101"/>
        <v>0.91006480147262581</v>
      </c>
      <c r="AT45" s="83">
        <f t="shared" si="101"/>
        <v>1.3546937653899911</v>
      </c>
      <c r="AU45" s="83">
        <f t="shared" si="101"/>
        <v>1.5781033045687261</v>
      </c>
      <c r="AV45" s="83">
        <f t="shared" si="101"/>
        <v>1.2641264663836844</v>
      </c>
      <c r="AW45" s="83">
        <f t="shared" si="101"/>
        <v>1.4568072802259382</v>
      </c>
      <c r="AX45" s="83">
        <f t="shared" si="101"/>
        <v>1.9716874527001109</v>
      </c>
      <c r="AY45" s="83">
        <f t="shared" si="101"/>
        <v>2.3590721631799219</v>
      </c>
      <c r="AZ45" s="83">
        <f t="shared" ref="AZ45:BA48" si="102">AZ28/AZ9</f>
        <v>2.1352785295459022</v>
      </c>
      <c r="BA45" s="83">
        <f t="shared" si="102"/>
        <v>1.9640093919714179</v>
      </c>
      <c r="BB45" s="83">
        <f t="shared" ref="BB45:BC45" si="103">BB28/BB9</f>
        <v>2.378192047219128</v>
      </c>
      <c r="BC45" s="83">
        <f t="shared" si="103"/>
        <v>2.6555555555555559</v>
      </c>
      <c r="BD45" s="83">
        <f t="shared" ref="BD45:BE45" si="104">BD28/BD9</f>
        <v>1.8770251113811258</v>
      </c>
      <c r="BE45" s="83">
        <f t="shared" si="104"/>
        <v>1.8269249860026289</v>
      </c>
      <c r="BF45" s="83">
        <f t="shared" ref="BF45:BG45" si="105">BF28/BF9</f>
        <v>1.9977080639069467</v>
      </c>
      <c r="BG45" s="83">
        <f t="shared" si="105"/>
        <v>1.5646748159247108</v>
      </c>
      <c r="BH45" s="83">
        <f t="shared" ref="BH45:BI45" si="106">BH28/BH9</f>
        <v>1.4280493735644602</v>
      </c>
      <c r="BI45" s="83">
        <f t="shared" si="106"/>
        <v>1.3046669960578885</v>
      </c>
      <c r="BJ45" s="83">
        <f t="shared" ref="BJ45:BK45" si="107">BJ28/BJ9</f>
        <v>1.9797208165498255</v>
      </c>
      <c r="BK45" s="83">
        <f t="shared" si="107"/>
        <v>1.6603798430829817</v>
      </c>
      <c r="BL45" s="83">
        <f t="shared" ref="BL45" si="108">BL28/BL9</f>
        <v>1.9933306337796133</v>
      </c>
      <c r="BM45" s="83">
        <f t="shared" ref="BM45:BN45" si="109">BM28/BM9</f>
        <v>1.6353633830951233</v>
      </c>
      <c r="BN45" s="83">
        <f t="shared" si="109"/>
        <v>2.1073055001777639</v>
      </c>
      <c r="BO45" s="83">
        <f t="shared" ref="BO45:BP45" si="110">BO28/BO9</f>
        <v>1.7018209677511751</v>
      </c>
      <c r="BP45" s="83">
        <f t="shared" si="110"/>
        <v>1.574771420462223</v>
      </c>
      <c r="BQ45" s="83">
        <f>BQ28/BQ9</f>
        <v>1.7567048100321143</v>
      </c>
      <c r="BR45" s="83">
        <f>BR28/BR9</f>
        <v>2.0758902260222967</v>
      </c>
    </row>
    <row r="46" spans="1:70" x14ac:dyDescent="0.25">
      <c r="A46" s="72" t="s">
        <v>184</v>
      </c>
      <c r="B46" s="83">
        <f t="shared" ref="B46:L46" si="111">B29/B10</f>
        <v>0.8736495310685497</v>
      </c>
      <c r="C46" s="83">
        <f t="shared" si="111"/>
        <v>1.1320506820836249</v>
      </c>
      <c r="D46" s="83">
        <f t="shared" si="111"/>
        <v>1.1722904213880061</v>
      </c>
      <c r="E46" s="83">
        <f t="shared" si="111"/>
        <v>1.1569481259836998</v>
      </c>
      <c r="F46" s="83">
        <f t="shared" si="111"/>
        <v>1.1167086388937237</v>
      </c>
      <c r="G46" s="83">
        <f t="shared" si="111"/>
        <v>1.3241880794199332</v>
      </c>
      <c r="H46" s="83">
        <f t="shared" si="111"/>
        <v>1.1757622687788885</v>
      </c>
      <c r="I46" s="83">
        <f t="shared" si="111"/>
        <v>1.3924972537970701</v>
      </c>
      <c r="J46" s="83">
        <f t="shared" si="111"/>
        <v>1.3755183422785597</v>
      </c>
      <c r="K46" s="83">
        <f t="shared" si="111"/>
        <v>1.5198234432516669</v>
      </c>
      <c r="L46" s="83">
        <f t="shared" si="111"/>
        <v>2.4198753360005449</v>
      </c>
      <c r="M46" s="83">
        <f t="shared" ref="M46:N46" si="112">M29/M10</f>
        <v>3.0952959329185723</v>
      </c>
      <c r="N46" s="83">
        <f t="shared" si="112"/>
        <v>2.621588024147564</v>
      </c>
      <c r="O46" s="83">
        <f t="shared" si="98"/>
        <v>2.2735161755601072</v>
      </c>
      <c r="P46" s="83">
        <f t="shared" si="98"/>
        <v>2.2569793328418548</v>
      </c>
      <c r="Q46" s="73"/>
      <c r="R46" s="83">
        <f t="shared" ref="R46:U48" si="113">R29/R10</f>
        <v>1.5701144000932639</v>
      </c>
      <c r="S46" s="83">
        <f t="shared" si="113"/>
        <v>1.3769043965223893</v>
      </c>
      <c r="T46" s="83">
        <f t="shared" si="113"/>
        <v>1.498014800991063</v>
      </c>
      <c r="U46" s="83">
        <f t="shared" si="113"/>
        <v>2.3409584843652684</v>
      </c>
      <c r="V46" s="83">
        <f t="shared" ref="V46" si="114">V29/V10</f>
        <v>3.0914616526669252</v>
      </c>
      <c r="W46" s="83">
        <f>W29/W10</f>
        <v>2.5969026093297618</v>
      </c>
      <c r="X46" s="83">
        <f t="shared" ref="X46:Y46" si="115">X29/X10</f>
        <v>2.2240999603279241</v>
      </c>
      <c r="Y46" s="83">
        <f t="shared" si="115"/>
        <v>2.2113441457861458</v>
      </c>
      <c r="Z46" s="73"/>
      <c r="AA46" s="83">
        <f>AA29/AA10</f>
        <v>1.5052721155691295</v>
      </c>
      <c r="AB46" s="83">
        <f t="shared" ref="AB46:AD48" si="116">AB29/AB10</f>
        <v>1.3950776829072071</v>
      </c>
      <c r="AC46" s="83">
        <f t="shared" si="116"/>
        <v>1.4657543235975579</v>
      </c>
      <c r="AD46" s="83">
        <f t="shared" si="116"/>
        <v>2.131482115094872</v>
      </c>
      <c r="AE46" s="83">
        <f t="shared" ref="AE46" si="117">AE29/AE10</f>
        <v>2.9431645691228741</v>
      </c>
      <c r="AF46" s="83">
        <f t="shared" ref="AF46:AI48" si="118">AF29/AF10</f>
        <v>2.6173930611926575</v>
      </c>
      <c r="AG46" s="83">
        <f t="shared" si="118"/>
        <v>2.1467705840855027</v>
      </c>
      <c r="AH46" s="83">
        <f t="shared" si="118"/>
        <v>2.1490670080729979</v>
      </c>
      <c r="AI46" s="83">
        <f t="shared" si="118"/>
        <v>2.1644884578936154</v>
      </c>
      <c r="AJ46" s="73"/>
      <c r="AK46" s="83">
        <f t="shared" ref="AK46:AY46" si="119">AK29/AK10</f>
        <v>1.076898128431802</v>
      </c>
      <c r="AL46" s="83">
        <f t="shared" si="119"/>
        <v>1.6240835748553093</v>
      </c>
      <c r="AM46" s="83">
        <f t="shared" si="119"/>
        <v>1.6805663218977001</v>
      </c>
      <c r="AN46" s="83">
        <f t="shared" si="119"/>
        <v>0.52038490773967561</v>
      </c>
      <c r="AO46" s="83">
        <f t="shared" si="119"/>
        <v>1.3136380220057216</v>
      </c>
      <c r="AP46" s="83">
        <f t="shared" si="119"/>
        <v>1.4205070780022295</v>
      </c>
      <c r="AQ46" s="83">
        <f t="shared" si="119"/>
        <v>1.3331587552993094</v>
      </c>
      <c r="AR46" s="83">
        <f t="shared" si="119"/>
        <v>1.3651385753083995</v>
      </c>
      <c r="AS46" s="83">
        <f t="shared" si="119"/>
        <v>1.3706074717918262</v>
      </c>
      <c r="AT46" s="83">
        <f t="shared" si="119"/>
        <v>1.476848121663813</v>
      </c>
      <c r="AU46" s="83">
        <f t="shared" si="119"/>
        <v>1.6156836534863175</v>
      </c>
      <c r="AV46" s="83">
        <f t="shared" si="119"/>
        <v>2.5056613079999979</v>
      </c>
      <c r="AW46" s="83">
        <f t="shared" si="119"/>
        <v>2.3669000516893002</v>
      </c>
      <c r="AX46" s="83">
        <f t="shared" si="119"/>
        <v>2.0970050649636645</v>
      </c>
      <c r="AY46" s="83">
        <f t="shared" si="119"/>
        <v>2.5084369998066331</v>
      </c>
      <c r="AZ46" s="83">
        <f t="shared" si="102"/>
        <v>2.8493093462283681</v>
      </c>
      <c r="BA46" s="83">
        <f t="shared" si="102"/>
        <v>3.1767499424361043</v>
      </c>
      <c r="BB46" s="83">
        <f t="shared" ref="BB46:BC46" si="120">BB29/BB10</f>
        <v>2.8261327257520259</v>
      </c>
      <c r="BC46" s="83">
        <f t="shared" si="120"/>
        <v>3.2512108291592501</v>
      </c>
      <c r="BD46" s="83">
        <f t="shared" ref="BD46:BE46" si="121">BD29/BD10</f>
        <v>3.1309606561935217</v>
      </c>
      <c r="BE46" s="83">
        <f t="shared" si="121"/>
        <v>2.5630336036528809</v>
      </c>
      <c r="BF46" s="83">
        <f t="shared" ref="BF46:BG46" si="122">BF29/BF10</f>
        <v>2.6336646479411603</v>
      </c>
      <c r="BG46" s="83">
        <f t="shared" si="122"/>
        <v>2.5521701802891177</v>
      </c>
      <c r="BH46" s="83">
        <f t="shared" ref="BH46:BI46" si="123">BH29/BH10</f>
        <v>2.7061737542155391</v>
      </c>
      <c r="BI46" s="83">
        <f t="shared" si="123"/>
        <v>2.1796323465820211</v>
      </c>
      <c r="BJ46" s="83">
        <f t="shared" ref="BJ46:BK46" si="124">BJ29/BJ10</f>
        <v>2.1397131442792587</v>
      </c>
      <c r="BK46" s="83">
        <f t="shared" si="124"/>
        <v>2.3569930251347162</v>
      </c>
      <c r="BL46" s="83">
        <f t="shared" ref="BL46" si="125">BL29/BL10</f>
        <v>2.3987440019263149</v>
      </c>
      <c r="BM46" s="83">
        <f t="shared" ref="BM46:BN46" si="126">BM29/BM10</f>
        <v>2.0358423288235978</v>
      </c>
      <c r="BN46" s="83">
        <f t="shared" si="126"/>
        <v>2.2007982769058976</v>
      </c>
      <c r="BO46" s="83">
        <f t="shared" ref="BO46:BP46" si="127">BO29/BO10</f>
        <v>2.30340167552658</v>
      </c>
      <c r="BP46" s="83">
        <f t="shared" si="127"/>
        <v>2.4873364597300278</v>
      </c>
      <c r="BQ46" s="83">
        <f t="shared" ref="BQ46:BR46" si="128">BQ29/BQ10</f>
        <v>2.1583527639797855</v>
      </c>
      <c r="BR46" s="83">
        <f t="shared" si="128"/>
        <v>2.1672780418317728</v>
      </c>
    </row>
    <row r="47" spans="1:70" x14ac:dyDescent="0.25">
      <c r="A47" s="72" t="s">
        <v>185</v>
      </c>
      <c r="B47" s="83">
        <f t="shared" ref="B47:L47" si="129">B30/B11</f>
        <v>0.50971629623502057</v>
      </c>
      <c r="C47" s="83">
        <f t="shared" si="129"/>
        <v>0.5377616023512265</v>
      </c>
      <c r="D47" s="83">
        <f t="shared" si="129"/>
        <v>0.55005146950949557</v>
      </c>
      <c r="E47" s="83">
        <f t="shared" si="129"/>
        <v>0.47439589465263726</v>
      </c>
      <c r="F47" s="83">
        <f t="shared" si="129"/>
        <v>0.50555688718433278</v>
      </c>
      <c r="G47" s="83">
        <f t="shared" si="129"/>
        <v>0.67387923502159341</v>
      </c>
      <c r="H47" s="83">
        <f t="shared" si="129"/>
        <v>0.53424447042622225</v>
      </c>
      <c r="I47" s="83">
        <f t="shared" si="129"/>
        <v>0.55196373084135852</v>
      </c>
      <c r="J47" s="83">
        <f t="shared" si="129"/>
        <v>0.61549039834313934</v>
      </c>
      <c r="K47" s="83">
        <f t="shared" si="129"/>
        <v>0.77996086862339009</v>
      </c>
      <c r="L47" s="83">
        <f t="shared" si="129"/>
        <v>1.2251934228411527</v>
      </c>
      <c r="M47" s="83">
        <f t="shared" ref="M47:N47" si="130">M30/M11</f>
        <v>1.4708618207310362</v>
      </c>
      <c r="N47" s="83">
        <f t="shared" si="130"/>
        <v>0.99152929800673473</v>
      </c>
      <c r="O47" s="83">
        <f t="shared" si="98"/>
        <v>0.9601475966431412</v>
      </c>
      <c r="P47" s="83">
        <f t="shared" si="98"/>
        <v>1.0692770508361538</v>
      </c>
      <c r="Q47" s="73"/>
      <c r="R47" s="83">
        <f t="shared" si="113"/>
        <v>0.55356031435025066</v>
      </c>
      <c r="S47" s="83">
        <f t="shared" si="113"/>
        <v>0.61549039834313934</v>
      </c>
      <c r="T47" s="83">
        <f t="shared" si="113"/>
        <v>0.75209573446186195</v>
      </c>
      <c r="U47" s="83">
        <f t="shared" si="113"/>
        <v>1.2107293236550556</v>
      </c>
      <c r="V47" s="83">
        <f t="shared" ref="V47" si="131">V30/V11</f>
        <v>1.5336931302330272</v>
      </c>
      <c r="W47" s="83">
        <f>W30/W11</f>
        <v>1.1452161867479689</v>
      </c>
      <c r="X47" s="83">
        <f t="shared" ref="X47:Y47" si="132">X30/X11</f>
        <v>0.93669174374714681</v>
      </c>
      <c r="Y47" s="83">
        <f t="shared" si="132"/>
        <v>1.07598164428401</v>
      </c>
      <c r="Z47" s="73"/>
      <c r="AA47" s="83">
        <f>AA30/AA11</f>
        <v>0.55356031435025066</v>
      </c>
      <c r="AB47" s="83">
        <f t="shared" si="116"/>
        <v>0.61546236785630759</v>
      </c>
      <c r="AC47" s="83">
        <f t="shared" si="116"/>
        <v>0.74163301712815288</v>
      </c>
      <c r="AD47" s="83">
        <f t="shared" si="116"/>
        <v>1.1175874407926034</v>
      </c>
      <c r="AE47" s="83">
        <f t="shared" ref="AE47" si="133">AE30/AE11</f>
        <v>1.5977624102541512</v>
      </c>
      <c r="AF47" s="83">
        <f t="shared" si="118"/>
        <v>1.352377114419391</v>
      </c>
      <c r="AG47" s="83">
        <f t="shared" si="118"/>
        <v>1.0425524569236559</v>
      </c>
      <c r="AH47" s="83">
        <f t="shared" si="118"/>
        <v>1.2574312463463075</v>
      </c>
      <c r="AI47" s="83">
        <f t="shared" si="118"/>
        <v>1.1285733190149434</v>
      </c>
      <c r="AJ47" s="73"/>
      <c r="AK47" s="83">
        <f>AK30/AK11</f>
        <v>0.55368889978912406</v>
      </c>
      <c r="AL47" s="112" t="s">
        <v>186</v>
      </c>
      <c r="AM47" s="112" t="s">
        <v>186</v>
      </c>
      <c r="AN47" s="83">
        <f t="shared" ref="AN47:AQ48" si="134">AN30/AN11</f>
        <v>0.54637096471485547</v>
      </c>
      <c r="AO47" s="83">
        <f t="shared" si="134"/>
        <v>0.61665426324460293</v>
      </c>
      <c r="AP47" s="83">
        <f t="shared" si="134"/>
        <v>0.60120013912728898</v>
      </c>
      <c r="AQ47" s="83">
        <f t="shared" si="134"/>
        <v>0.61645940706416369</v>
      </c>
      <c r="AR47" s="112" t="s">
        <v>186</v>
      </c>
      <c r="AS47" s="83">
        <f t="shared" ref="AS47:AY48" si="135">AS30/AS11</f>
        <v>0.67031257158704849</v>
      </c>
      <c r="AT47" s="83">
        <f t="shared" si="135"/>
        <v>0.78658384679251869</v>
      </c>
      <c r="AU47" s="83">
        <f t="shared" si="135"/>
        <v>0.90068065854586854</v>
      </c>
      <c r="AV47" s="83">
        <f t="shared" si="135"/>
        <v>1.3162337686747001</v>
      </c>
      <c r="AW47" s="83">
        <f t="shared" si="135"/>
        <v>0.94701968547234139</v>
      </c>
      <c r="AX47" s="83">
        <f t="shared" si="135"/>
        <v>1.6356576200417536</v>
      </c>
      <c r="AY47" s="83">
        <f t="shared" si="135"/>
        <v>1.675254581444753</v>
      </c>
      <c r="AZ47" s="83">
        <f t="shared" si="102"/>
        <v>1.427408360190578</v>
      </c>
      <c r="BA47" s="83">
        <f t="shared" si="102"/>
        <v>1.5759485221477585</v>
      </c>
      <c r="BB47" s="83">
        <f t="shared" ref="BB47:BC47" si="136">BB30/BB11</f>
        <v>1.6244128392484343</v>
      </c>
      <c r="BC47" s="83">
        <f t="shared" si="136"/>
        <v>1.3930240804616227</v>
      </c>
      <c r="BD47" s="83">
        <f t="shared" ref="BD47:BE47" si="137">BD30/BD11</f>
        <v>1.2851093018400883</v>
      </c>
      <c r="BE47" s="83">
        <f t="shared" si="137"/>
        <v>1.5555525137906019</v>
      </c>
      <c r="BF47" s="83">
        <f t="shared" ref="BF47:BG47" si="138">BF30/BF11</f>
        <v>1.070436101645047</v>
      </c>
      <c r="BG47" s="83">
        <f t="shared" si="138"/>
        <v>0.95602392954130533</v>
      </c>
      <c r="BH47" s="83">
        <f t="shared" ref="BH47:BI47" si="139">BH30/BH11</f>
        <v>0.54411507719076069</v>
      </c>
      <c r="BI47" s="83">
        <f t="shared" si="139"/>
        <v>1.0896101457242184</v>
      </c>
      <c r="BJ47" s="83">
        <f t="shared" ref="BJ47:BK47" si="140">BJ30/BJ11</f>
        <v>0.81876418478658763</v>
      </c>
      <c r="BK47" s="83">
        <f t="shared" si="140"/>
        <v>0.86467375385754197</v>
      </c>
      <c r="BL47" s="83">
        <f t="shared" ref="BL47" si="141">BL30/BL11</f>
        <v>1.0992539463249111</v>
      </c>
      <c r="BM47" s="83">
        <f t="shared" ref="BM47:BN47" si="142">BM30/BM11</f>
        <v>1.3248935522923029</v>
      </c>
      <c r="BN47" s="83">
        <f t="shared" si="142"/>
        <v>0.99332907808036208</v>
      </c>
      <c r="BO47" s="83">
        <f t="shared" ref="BO47:BP47" si="143">BO30/BO11</f>
        <v>1.0118793830774941</v>
      </c>
      <c r="BP47" s="83">
        <f t="shared" si="143"/>
        <v>1.0593222037838239</v>
      </c>
      <c r="BQ47" s="83">
        <f t="shared" ref="BQ47:BR47" si="144">BQ30/BQ11</f>
        <v>1.1716072722141828</v>
      </c>
      <c r="BR47" s="83">
        <f t="shared" si="144"/>
        <v>0.98193526758588834</v>
      </c>
    </row>
    <row r="48" spans="1:70" x14ac:dyDescent="0.25">
      <c r="A48" s="72" t="s">
        <v>187</v>
      </c>
      <c r="B48" s="83">
        <f t="shared" ref="B48:L48" si="145">B31/B12</f>
        <v>0.5589372658395465</v>
      </c>
      <c r="C48" s="83">
        <f t="shared" si="145"/>
        <v>0.59222082748584259</v>
      </c>
      <c r="D48" s="83">
        <f t="shared" si="145"/>
        <v>0.65184389145839405</v>
      </c>
      <c r="E48" s="83">
        <f t="shared" si="145"/>
        <v>0.60182293175029566</v>
      </c>
      <c r="F48" s="83">
        <f t="shared" si="145"/>
        <v>0.59949604682510615</v>
      </c>
      <c r="G48" s="83">
        <f t="shared" si="145"/>
        <v>0.65643286958941194</v>
      </c>
      <c r="H48" s="83">
        <f t="shared" si="145"/>
        <v>0.63045681283984578</v>
      </c>
      <c r="I48" s="83">
        <f t="shared" si="145"/>
        <v>0.72785337216335422</v>
      </c>
      <c r="J48" s="83">
        <f t="shared" si="145"/>
        <v>0.5493372761247608</v>
      </c>
      <c r="K48" s="83">
        <f t="shared" si="145"/>
        <v>0.97458406910154649</v>
      </c>
      <c r="L48" s="83">
        <f t="shared" si="145"/>
        <v>1.5900658392326368</v>
      </c>
      <c r="M48" s="83">
        <f t="shared" ref="M48:N48" si="146">M31/M12</f>
        <v>1.8198257097668302</v>
      </c>
      <c r="N48" s="83">
        <f t="shared" si="146"/>
        <v>1.5542060406851796</v>
      </c>
      <c r="O48" s="83">
        <f t="shared" si="98"/>
        <v>1.247138307312047</v>
      </c>
      <c r="P48" s="83">
        <f t="shared" si="98"/>
        <v>1.4753124837312535</v>
      </c>
      <c r="Q48" s="73"/>
      <c r="R48" s="83">
        <f t="shared" si="113"/>
        <v>0.7116330365692527</v>
      </c>
      <c r="S48" s="83">
        <f t="shared" si="113"/>
        <v>0.49623773289906931</v>
      </c>
      <c r="T48" s="83">
        <f t="shared" si="113"/>
        <v>0.92524417570040807</v>
      </c>
      <c r="U48" s="83">
        <f t="shared" si="113"/>
        <v>1.5965532274668564</v>
      </c>
      <c r="V48" s="83">
        <f t="shared" ref="V48" si="147">V31/V12</f>
        <v>1.8285124237854848</v>
      </c>
      <c r="W48" s="83">
        <f>W31/W12</f>
        <v>1.6643064497390792</v>
      </c>
      <c r="X48" s="83">
        <f t="shared" ref="X48:Y48" si="148">X31/X12</f>
        <v>1.1825720350555855</v>
      </c>
      <c r="Y48" s="83">
        <f t="shared" si="148"/>
        <v>1.4975710952388455</v>
      </c>
      <c r="Z48" s="73"/>
      <c r="AA48" s="83">
        <f>AA31/AA12</f>
        <v>0.68920332088782976</v>
      </c>
      <c r="AB48" s="83">
        <f t="shared" si="116"/>
        <v>0.59041901658852369</v>
      </c>
      <c r="AC48" s="83">
        <f t="shared" si="116"/>
        <v>0.92308042476174301</v>
      </c>
      <c r="AD48" s="83">
        <f t="shared" si="116"/>
        <v>1.5310585981870419</v>
      </c>
      <c r="AE48" s="83">
        <f t="shared" ref="AE48" si="149">AE31/AE12</f>
        <v>1.7437446585264726</v>
      </c>
      <c r="AF48" s="83">
        <f t="shared" si="118"/>
        <v>1.6713965676722859</v>
      </c>
      <c r="AG48" s="83">
        <f t="shared" si="118"/>
        <v>1.1390007358934964</v>
      </c>
      <c r="AH48" s="83">
        <f t="shared" si="118"/>
        <v>1.4703217032394424</v>
      </c>
      <c r="AI48" s="83">
        <f t="shared" si="118"/>
        <v>1.6130055509845989</v>
      </c>
      <c r="AJ48" s="73"/>
      <c r="AK48" s="83">
        <f>AK31/AK12</f>
        <v>0.59599572713683835</v>
      </c>
      <c r="AL48" s="83">
        <f>AL31/AL12</f>
        <v>0.81451814561644253</v>
      </c>
      <c r="AM48" s="83">
        <f>AM31/AM12</f>
        <v>1.039833068572259</v>
      </c>
      <c r="AN48" s="83">
        <f t="shared" si="134"/>
        <v>0.76509750983305358</v>
      </c>
      <c r="AO48" s="83">
        <f t="shared" si="134"/>
        <v>0.87926889609708081</v>
      </c>
      <c r="AP48" s="83">
        <f t="shared" si="134"/>
        <v>0.33298858718574392</v>
      </c>
      <c r="AQ48" s="83">
        <f t="shared" si="134"/>
        <v>0.20431656383158803</v>
      </c>
      <c r="AR48" s="83">
        <f>AR31/AR12</f>
        <v>0.77932031814895164</v>
      </c>
      <c r="AS48" s="83">
        <f t="shared" si="135"/>
        <v>0.7916464838807572</v>
      </c>
      <c r="AT48" s="83">
        <f t="shared" si="135"/>
        <v>1.1249895416890798</v>
      </c>
      <c r="AU48" s="83">
        <f t="shared" si="135"/>
        <v>1.4220779220779221</v>
      </c>
      <c r="AV48" s="83">
        <f t="shared" si="135"/>
        <v>1.0779131556446619</v>
      </c>
      <c r="AW48" s="83">
        <f t="shared" si="135"/>
        <v>1.3677168752697453</v>
      </c>
      <c r="AX48" s="83">
        <f t="shared" si="135"/>
        <v>1.5735455081249474</v>
      </c>
      <c r="AY48" s="83">
        <f t="shared" si="135"/>
        <v>1.6782854878042637</v>
      </c>
      <c r="AZ48" s="83">
        <f t="shared" si="102"/>
        <v>1.5838113797537827</v>
      </c>
      <c r="BA48" s="83">
        <f t="shared" si="102"/>
        <v>1.6740176507669677</v>
      </c>
      <c r="BB48" s="83">
        <f t="shared" ref="BB48:BC48" si="150">BB31/BB12</f>
        <v>2.0323057524240187</v>
      </c>
      <c r="BC48" s="83">
        <f t="shared" si="150"/>
        <v>2.1201420628220431</v>
      </c>
      <c r="BD48" s="83">
        <f t="shared" ref="BD48:BE48" si="151">BD31/BD12</f>
        <v>1.8069500320681009</v>
      </c>
      <c r="BE48" s="83">
        <f t="shared" si="151"/>
        <v>1.7455440403139102</v>
      </c>
      <c r="BF48" s="83">
        <f t="shared" ref="BF48:BG48" si="152">BF31/BF12</f>
        <v>1.5625055057433326</v>
      </c>
      <c r="BG48" s="83">
        <f t="shared" si="152"/>
        <v>1.6072012934988145</v>
      </c>
      <c r="BH48" s="83">
        <f t="shared" ref="BH48:BI48" si="153">BH31/BH12</f>
        <v>1.1614509969578946</v>
      </c>
      <c r="BI48" s="83">
        <f t="shared" si="153"/>
        <v>1.1027144159816027</v>
      </c>
      <c r="BJ48" s="83">
        <f t="shared" ref="BJ48:BK48" si="154">BJ31/BJ12</f>
        <v>1.3166964023577767</v>
      </c>
      <c r="BK48" s="83">
        <f t="shared" si="154"/>
        <v>1.5346686757129866</v>
      </c>
      <c r="BL48" s="83">
        <f t="shared" ref="BL48" si="155">BL31/BL12</f>
        <v>1.428966370431775</v>
      </c>
      <c r="BM48" s="83">
        <f t="shared" ref="BM48:BN48" si="156">BM31/BM12</f>
        <v>1.429540631276137</v>
      </c>
      <c r="BN48" s="83">
        <f t="shared" si="156"/>
        <v>1.7670560416848164</v>
      </c>
      <c r="BO48" s="83">
        <f t="shared" ref="BO48:BP48" si="157">BO31/BO12</f>
        <v>1.7292529755943691</v>
      </c>
      <c r="BP48" s="83">
        <f t="shared" si="157"/>
        <v>1.4075711219106128</v>
      </c>
      <c r="BQ48" s="83">
        <f t="shared" ref="BQ48:BR48" si="158">BQ31/BQ12</f>
        <v>1.5521565799367769</v>
      </c>
      <c r="BR48" s="83">
        <f t="shared" si="158"/>
        <v>1.8420044923530183</v>
      </c>
    </row>
    <row r="49" spans="1:70" x14ac:dyDescent="0.25">
      <c r="A49" s="62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73"/>
      <c r="R49" s="83"/>
      <c r="S49" s="83"/>
      <c r="T49" s="83"/>
      <c r="U49" s="83"/>
      <c r="V49" s="83"/>
      <c r="W49" s="83"/>
      <c r="X49" s="83"/>
      <c r="Y49" s="83"/>
      <c r="Z49" s="73"/>
      <c r="AA49" s="83"/>
      <c r="AB49" s="83"/>
      <c r="AC49" s="83"/>
      <c r="AD49" s="83"/>
      <c r="AE49" s="83"/>
      <c r="AF49" s="83"/>
      <c r="AG49" s="83"/>
      <c r="AH49" s="83"/>
      <c r="AI49" s="83"/>
      <c r="AJ49" s="7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</row>
    <row r="50" spans="1:70" x14ac:dyDescent="0.25">
      <c r="A50" s="62" t="s">
        <v>167</v>
      </c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73"/>
      <c r="R50" s="83"/>
      <c r="S50" s="83"/>
      <c r="T50" s="83"/>
      <c r="U50" s="83"/>
      <c r="V50" s="83"/>
      <c r="W50" s="83"/>
      <c r="X50" s="83"/>
      <c r="Y50" s="83"/>
      <c r="Z50" s="73"/>
      <c r="AA50" s="83"/>
      <c r="AB50" s="83"/>
      <c r="AC50" s="83"/>
      <c r="AD50" s="83"/>
      <c r="AE50" s="83"/>
      <c r="AF50" s="83"/>
      <c r="AG50" s="83"/>
      <c r="AH50" s="83"/>
      <c r="AI50" s="83"/>
      <c r="AJ50" s="7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</row>
    <row r="51" spans="1:70" x14ac:dyDescent="0.25">
      <c r="A51" s="72" t="s">
        <v>188</v>
      </c>
      <c r="B51" s="83">
        <v>0</v>
      </c>
      <c r="C51" s="83">
        <v>0</v>
      </c>
      <c r="D51" s="83">
        <v>0</v>
      </c>
      <c r="E51" s="83">
        <f t="shared" ref="E51:L51" si="159">E34/E15</f>
        <v>2.3269865062640092</v>
      </c>
      <c r="F51" s="83">
        <f t="shared" si="159"/>
        <v>1.9428693546089186</v>
      </c>
      <c r="G51" s="83">
        <f t="shared" si="159"/>
        <v>2.0294043928500756</v>
      </c>
      <c r="H51" s="83">
        <f t="shared" si="159"/>
        <v>2.1626679156110957</v>
      </c>
      <c r="I51" s="83">
        <f t="shared" si="159"/>
        <v>2.6799801875020677</v>
      </c>
      <c r="J51" s="83">
        <f t="shared" si="159"/>
        <v>2.6535597201786305</v>
      </c>
      <c r="K51" s="83">
        <f t="shared" si="159"/>
        <v>4.1101332902355701</v>
      </c>
      <c r="L51" s="83">
        <f t="shared" si="159"/>
        <v>5.6187557039635037</v>
      </c>
      <c r="M51" s="83">
        <f t="shared" ref="M51:N51" si="160">M34/M15</f>
        <v>7.1323093974808689</v>
      </c>
      <c r="N51" s="83">
        <f t="shared" si="160"/>
        <v>4.7740519888239561</v>
      </c>
      <c r="O51" s="83">
        <f>O34/O15</f>
        <v>5.3000534329486833</v>
      </c>
      <c r="P51" s="83">
        <f>P34/P15</f>
        <v>6.1061386138431599</v>
      </c>
      <c r="Q51" s="73"/>
      <c r="R51" s="83">
        <f t="shared" ref="R51:W51" si="161">R34/R15</f>
        <v>2.3619568877486712</v>
      </c>
      <c r="S51" s="83">
        <f t="shared" si="161"/>
        <v>2.4799189554254837</v>
      </c>
      <c r="T51" s="83">
        <f t="shared" si="161"/>
        <v>3.6205564173266196</v>
      </c>
      <c r="U51" s="83">
        <f t="shared" si="161"/>
        <v>5.4384001612835773</v>
      </c>
      <c r="V51" s="83">
        <f t="shared" si="161"/>
        <v>7.3787424346580108</v>
      </c>
      <c r="W51" s="83">
        <f t="shared" si="161"/>
        <v>4.8331905869518348</v>
      </c>
      <c r="X51" s="83">
        <f t="shared" ref="X51:Y51" si="162">X34/X15</f>
        <v>4.9880721646817134</v>
      </c>
      <c r="Y51" s="83">
        <f t="shared" si="162"/>
        <v>6.0216018569886556</v>
      </c>
      <c r="Z51" s="73"/>
      <c r="AA51" s="83">
        <f t="shared" ref="AA51:AI51" si="163">AA34/AA15</f>
        <v>2.3404963946920261</v>
      </c>
      <c r="AB51" s="83">
        <f t="shared" si="163"/>
        <v>2.4709808473592574</v>
      </c>
      <c r="AC51" s="83">
        <f t="shared" si="163"/>
        <v>3.1601762264715703</v>
      </c>
      <c r="AD51" s="83">
        <f t="shared" si="163"/>
        <v>5.21798613467785</v>
      </c>
      <c r="AE51" s="83">
        <f t="shared" si="163"/>
        <v>7.8981614766733292</v>
      </c>
      <c r="AF51" s="83">
        <f t="shared" si="163"/>
        <v>5.0178435040817027</v>
      </c>
      <c r="AG51" s="83">
        <f t="shared" si="163"/>
        <v>4.7394996810647605</v>
      </c>
      <c r="AH51" s="83">
        <f t="shared" si="163"/>
        <v>5.96844004948177</v>
      </c>
      <c r="AI51" s="83">
        <f t="shared" si="163"/>
        <v>5.621634324826025</v>
      </c>
      <c r="AJ51" s="73"/>
      <c r="AK51" s="83">
        <f t="shared" ref="AK51:BB51" si="164">AK34/AK15</f>
        <v>2.3299255583807819</v>
      </c>
      <c r="AL51" s="83">
        <f t="shared" si="164"/>
        <v>2.3469179274529308</v>
      </c>
      <c r="AM51" s="83">
        <f t="shared" si="164"/>
        <v>2.3977645245488191</v>
      </c>
      <c r="AN51" s="83">
        <f t="shared" si="164"/>
        <v>3.704801732448364</v>
      </c>
      <c r="AO51" s="83">
        <f t="shared" si="164"/>
        <v>2.5764235764235766</v>
      </c>
      <c r="AP51" s="83">
        <f t="shared" si="164"/>
        <v>2.3987087938961165</v>
      </c>
      <c r="AQ51" s="83">
        <f t="shared" si="164"/>
        <v>2.494540707334441</v>
      </c>
      <c r="AR51" s="83">
        <f t="shared" si="164"/>
        <v>3.0927435885755932</v>
      </c>
      <c r="AS51" s="83">
        <f t="shared" si="164"/>
        <v>3.2104565485115359</v>
      </c>
      <c r="AT51" s="83">
        <f t="shared" si="164"/>
        <v>3.1147745695132101</v>
      </c>
      <c r="AU51" s="83">
        <f t="shared" si="164"/>
        <v>4.4472402664654567</v>
      </c>
      <c r="AV51" s="83">
        <f t="shared" si="164"/>
        <v>5.6080723753393649</v>
      </c>
      <c r="AW51" s="83">
        <f t="shared" si="164"/>
        <v>4.7431252385121336</v>
      </c>
      <c r="AX51" s="83">
        <f t="shared" si="164"/>
        <v>5.5790434901344987</v>
      </c>
      <c r="AY51" s="83">
        <f t="shared" si="164"/>
        <v>5.8848414315963868</v>
      </c>
      <c r="AZ51" s="83">
        <f t="shared" si="164"/>
        <v>6.2149592863216885</v>
      </c>
      <c r="BA51" s="83">
        <f t="shared" si="164"/>
        <v>7.6652670420205489</v>
      </c>
      <c r="BB51" s="83">
        <f t="shared" si="164"/>
        <v>8.0517933784094478</v>
      </c>
      <c r="BC51" s="83">
        <f t="shared" ref="BC51:BD51" si="165">BC34/BC15</f>
        <v>6.58562906619819</v>
      </c>
      <c r="BD51" s="83">
        <f t="shared" si="165"/>
        <v>6.3687238122292449</v>
      </c>
      <c r="BE51" s="83">
        <f t="shared" ref="BE51:BF51" si="166">BE34/BE15</f>
        <v>5.6965038276379136</v>
      </c>
      <c r="BF51" s="83">
        <f t="shared" si="166"/>
        <v>4.4290129422955902</v>
      </c>
      <c r="BG51" s="83">
        <f t="shared" ref="BG51:BH51" si="167">BG34/BG15</f>
        <v>4.5674388926553275</v>
      </c>
      <c r="BH51" s="83">
        <f t="shared" si="167"/>
        <v>4.6421193430594547</v>
      </c>
      <c r="BI51" s="83">
        <f t="shared" ref="BI51:BJ51" si="168">BI34/BI15</f>
        <v>4.4907156450613179</v>
      </c>
      <c r="BJ51" s="83">
        <f t="shared" si="168"/>
        <v>4.9529503034728251</v>
      </c>
      <c r="BK51" s="83">
        <f t="shared" ref="BK51:BL51" si="169">BK34/BK15</f>
        <v>5.4492102916157235</v>
      </c>
      <c r="BL51" s="83">
        <f t="shared" si="169"/>
        <v>6.316336102752361</v>
      </c>
      <c r="BM51" s="83">
        <f t="shared" ref="BM51:BN51" si="170">BM34/BM15</f>
        <v>6.3512527855191356</v>
      </c>
      <c r="BN51" s="83">
        <f t="shared" si="170"/>
        <v>5.6298760866802295</v>
      </c>
      <c r="BO51" s="83">
        <f t="shared" ref="BO51:BP51" si="171">BO34/BO15</f>
        <v>6.1228828211421717</v>
      </c>
      <c r="BP51" s="83">
        <f t="shared" si="171"/>
        <v>6.3811346886881513</v>
      </c>
      <c r="BQ51" s="83">
        <f t="shared" ref="BQ51:BR51" si="172">BQ34/BQ15</f>
        <v>5.7744261417830582</v>
      </c>
      <c r="BR51" s="83">
        <f t="shared" si="172"/>
        <v>5.4759246796134295</v>
      </c>
    </row>
    <row r="52" spans="1:70" x14ac:dyDescent="0.25">
      <c r="A52" s="72" t="s">
        <v>189</v>
      </c>
      <c r="B52" s="83">
        <v>0</v>
      </c>
      <c r="C52" s="83">
        <v>0</v>
      </c>
      <c r="D52" s="83">
        <f t="shared" ref="D52:L52" si="173">D35/D16</f>
        <v>1.1883331434355602</v>
      </c>
      <c r="E52" s="83">
        <f t="shared" si="173"/>
        <v>1.4311295132269968</v>
      </c>
      <c r="F52" s="83">
        <f t="shared" si="173"/>
        <v>1.4394343679568931</v>
      </c>
      <c r="G52" s="83">
        <f t="shared" si="173"/>
        <v>1.2400398146618796</v>
      </c>
      <c r="H52" s="83">
        <f t="shared" si="173"/>
        <v>1.0330743243243243</v>
      </c>
      <c r="I52" s="83">
        <f t="shared" si="173"/>
        <v>1.2499441158778852</v>
      </c>
      <c r="J52" s="83">
        <f t="shared" si="173"/>
        <v>1.157833161526715</v>
      </c>
      <c r="K52" s="83">
        <f t="shared" si="173"/>
        <v>1.6997083175637846</v>
      </c>
      <c r="L52" s="83">
        <f t="shared" si="173"/>
        <v>2.2109862885094738</v>
      </c>
      <c r="M52" s="83">
        <f t="shared" ref="M52:N52" si="174">M35/M16</f>
        <v>2.4910805253573605</v>
      </c>
      <c r="N52" s="83">
        <f t="shared" si="174"/>
        <v>2.4312632246971364</v>
      </c>
      <c r="O52" s="83">
        <f>O35/O16</f>
        <v>2.0875016504099184</v>
      </c>
      <c r="P52" s="83">
        <f>P35/P16</f>
        <v>1.7605614589933101</v>
      </c>
      <c r="Q52" s="73"/>
      <c r="R52" s="83">
        <f>R35/R16</f>
        <v>1.2551606985016626</v>
      </c>
      <c r="S52" s="83">
        <f>S35/S16</f>
        <v>1.1469889865396994</v>
      </c>
      <c r="T52" s="83">
        <f>T35/T16</f>
        <v>1.5291026466981392</v>
      </c>
      <c r="U52" s="83">
        <f>U35/U16</f>
        <v>2.2223442595202769</v>
      </c>
      <c r="V52" s="83">
        <f t="shared" ref="V52" si="175">V35/V16</f>
        <v>2.4882325852284128</v>
      </c>
      <c r="W52" s="83">
        <f>W35/W16</f>
        <v>2.4751857023170003</v>
      </c>
      <c r="X52" s="83">
        <f t="shared" ref="X52:Y52" si="176">X35/X16</f>
        <v>2.09737499808808</v>
      </c>
      <c r="Y52" s="83">
        <f t="shared" si="176"/>
        <v>1.7768201090356843</v>
      </c>
      <c r="Z52" s="73"/>
      <c r="AA52" s="83">
        <f>AA35/AA16</f>
        <v>1.24359477082021</v>
      </c>
      <c r="AB52" s="83">
        <f>AB35/AB16</f>
        <v>1.1411892307127656</v>
      </c>
      <c r="AC52" s="83">
        <f>AC35/AC16</f>
        <v>1.4615766369566179</v>
      </c>
      <c r="AD52" s="83">
        <f>AD35/AD16</f>
        <v>2.2614045244032774</v>
      </c>
      <c r="AE52" s="83">
        <f t="shared" ref="AE52" si="177">AE35/AE16</f>
        <v>2.5095588270592688</v>
      </c>
      <c r="AF52" s="83">
        <f>AF35/AF16</f>
        <v>2.5930401398160692</v>
      </c>
      <c r="AG52" s="83">
        <f>AG35/AG16</f>
        <v>2.0800857166154416</v>
      </c>
      <c r="AH52" s="83">
        <f>AH35/AH16</f>
        <v>1.9530220480935274</v>
      </c>
      <c r="AI52" s="83">
        <f>AI35/AI16</f>
        <v>1.7142653689104101</v>
      </c>
      <c r="AJ52" s="73"/>
      <c r="AK52" s="83">
        <f t="shared" ref="AK52:BB52" si="178">AK35/AK16</f>
        <v>1.0462589632026658</v>
      </c>
      <c r="AL52" s="83">
        <f t="shared" si="178"/>
        <v>1.3607146727172068</v>
      </c>
      <c r="AM52" s="83">
        <f t="shared" si="178"/>
        <v>1.2725810211083652</v>
      </c>
      <c r="AN52" s="83">
        <f t="shared" si="178"/>
        <v>1.237220324499456</v>
      </c>
      <c r="AO52" s="83">
        <f t="shared" si="178"/>
        <v>1.1052773091278572</v>
      </c>
      <c r="AP52" s="83">
        <f t="shared" si="178"/>
        <v>1.1575038658745016</v>
      </c>
      <c r="AQ52" s="83">
        <f t="shared" si="178"/>
        <v>1.1544598231449443</v>
      </c>
      <c r="AR52" s="83">
        <f t="shared" si="178"/>
        <v>1.1805667927062178</v>
      </c>
      <c r="AS52" s="83">
        <f t="shared" si="178"/>
        <v>1.1840508320839582</v>
      </c>
      <c r="AT52" s="83">
        <f t="shared" si="178"/>
        <v>1.6286291638787362</v>
      </c>
      <c r="AU52" s="83">
        <f t="shared" si="178"/>
        <v>1.6390092600451907</v>
      </c>
      <c r="AV52" s="83">
        <f t="shared" si="178"/>
        <v>2.1057488223953111</v>
      </c>
      <c r="AW52" s="83">
        <f t="shared" si="178"/>
        <v>2.3732097725358048</v>
      </c>
      <c r="AX52" s="83">
        <f t="shared" si="178"/>
        <v>2.2094756749706534</v>
      </c>
      <c r="AY52" s="83">
        <f t="shared" si="178"/>
        <v>2.1730250031247058</v>
      </c>
      <c r="AZ52" s="83">
        <f t="shared" si="178"/>
        <v>2.1840919020097371</v>
      </c>
      <c r="BA52" s="83">
        <f t="shared" si="178"/>
        <v>2.3995022594799926</v>
      </c>
      <c r="BB52" s="83">
        <f t="shared" si="178"/>
        <v>2.5954515338002038</v>
      </c>
      <c r="BC52" s="83">
        <f t="shared" ref="BC52:BD52" si="179">BC35/BC16</f>
        <v>2.4493938179304418</v>
      </c>
      <c r="BD52" s="83">
        <f t="shared" si="179"/>
        <v>2.4972577288277908</v>
      </c>
      <c r="BE52" s="83">
        <f t="shared" ref="BE52:BF52" si="180">BE35/BE16</f>
        <v>2.7074981812708527</v>
      </c>
      <c r="BF52" s="83">
        <f t="shared" si="180"/>
        <v>2.4849451576484132</v>
      </c>
      <c r="BG52" s="83">
        <f t="shared" ref="BG52:BH52" si="181">BG35/BG16</f>
        <v>2.3414275667782731</v>
      </c>
      <c r="BH52" s="83">
        <f t="shared" si="181"/>
        <v>2.3633823693426725</v>
      </c>
      <c r="BI52" s="83">
        <f t="shared" ref="BI52:BJ52" si="182">BI35/BI16</f>
        <v>2.1984517400994861</v>
      </c>
      <c r="BJ52" s="83">
        <f t="shared" si="182"/>
        <v>1.9710391116099013</v>
      </c>
      <c r="BK52" s="83">
        <f t="shared" ref="BK52:BL52" si="183">BK35/BK16</f>
        <v>2.1292410536559374</v>
      </c>
      <c r="BL52" s="83">
        <f t="shared" si="183"/>
        <v>2.0555993889565718</v>
      </c>
      <c r="BM52" s="83">
        <f t="shared" ref="BM52:BN52" si="184">BM35/BM16</f>
        <v>1.9956597996312393</v>
      </c>
      <c r="BN52" s="83">
        <f t="shared" si="184"/>
        <v>1.9160055853332429</v>
      </c>
      <c r="BO52" s="83">
        <f t="shared" ref="BO52:BP52" si="185">BO35/BO16</f>
        <v>1.557519144676871</v>
      </c>
      <c r="BP52" s="83">
        <f t="shared" si="185"/>
        <v>1.7065141511621127</v>
      </c>
      <c r="BQ52" s="83">
        <f t="shared" ref="BQ52:BR52" si="186">BQ35/BQ16</f>
        <v>1.7512492666888753</v>
      </c>
      <c r="BR52" s="83">
        <f t="shared" si="186"/>
        <v>1.6819034384428491</v>
      </c>
    </row>
    <row r="53" spans="1:70" x14ac:dyDescent="0.25">
      <c r="A53" s="72" t="s">
        <v>345</v>
      </c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73"/>
      <c r="R53" s="83"/>
      <c r="S53" s="83"/>
      <c r="T53" s="83"/>
      <c r="U53" s="83"/>
      <c r="V53" s="83"/>
      <c r="W53" s="83"/>
      <c r="X53" s="83"/>
      <c r="Y53" s="83"/>
      <c r="Z53" s="73"/>
      <c r="AA53" s="83"/>
      <c r="AB53" s="83"/>
      <c r="AC53" s="83"/>
      <c r="AD53" s="83"/>
      <c r="AE53" s="83"/>
      <c r="AF53" s="83"/>
      <c r="AG53" s="83"/>
      <c r="AH53" s="83"/>
      <c r="AI53" s="83">
        <f t="shared" ref="AI53:AI54" si="187">AI36/AI17</f>
        <v>2.000172405432926</v>
      </c>
      <c r="AJ53" s="7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>
        <f t="shared" ref="BR53" si="188">BR36/BR17</f>
        <v>2.000172405432926</v>
      </c>
    </row>
    <row r="54" spans="1:70" x14ac:dyDescent="0.25">
      <c r="A54" s="72" t="s">
        <v>346</v>
      </c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73"/>
      <c r="R54" s="83"/>
      <c r="S54" s="83"/>
      <c r="T54" s="83"/>
      <c r="U54" s="83"/>
      <c r="V54" s="83"/>
      <c r="W54" s="83"/>
      <c r="X54" s="83"/>
      <c r="Y54" s="83"/>
      <c r="Z54" s="73"/>
      <c r="AA54" s="83"/>
      <c r="AB54" s="83"/>
      <c r="AC54" s="83"/>
      <c r="AD54" s="83"/>
      <c r="AE54" s="83"/>
      <c r="AF54" s="83"/>
      <c r="AG54" s="83"/>
      <c r="AH54" s="83"/>
      <c r="AI54" s="83">
        <f t="shared" si="187"/>
        <v>0.85819733201459869</v>
      </c>
      <c r="AJ54" s="7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3"/>
      <c r="BK54" s="83"/>
      <c r="BL54" s="83"/>
      <c r="BM54" s="83"/>
      <c r="BN54" s="83"/>
      <c r="BO54" s="83"/>
      <c r="BP54" s="83"/>
      <c r="BQ54" s="83"/>
      <c r="BR54" s="83">
        <f t="shared" ref="BR54" si="189">BR37/BR18</f>
        <v>0.85819733201459869</v>
      </c>
    </row>
    <row r="55" spans="1:70" x14ac:dyDescent="0.25">
      <c r="A55" s="72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BG55" s="84"/>
      <c r="BH55" s="84"/>
      <c r="BI55" s="84"/>
      <c r="BJ55" s="84"/>
      <c r="BK55" s="84"/>
      <c r="BL55" s="84"/>
      <c r="BM55" s="84"/>
      <c r="BN55" s="84"/>
    </row>
    <row r="56" spans="1:70" x14ac:dyDescent="0.25">
      <c r="A56" s="66" t="s">
        <v>190</v>
      </c>
      <c r="B56" s="70">
        <f>DRE_ACM!C9/1000</f>
        <v>62.552999999999997</v>
      </c>
      <c r="C56" s="70">
        <f>DRE_ACM!D9/1000</f>
        <v>62.2</v>
      </c>
      <c r="D56" s="70">
        <f>DRE_ACM!E9/1000</f>
        <v>91.724999999999994</v>
      </c>
      <c r="E56" s="70">
        <f>DRE_ACM!F9/1000</f>
        <v>148.93100000000001</v>
      </c>
      <c r="F56" s="70">
        <f>DRE_ACM!G9/1000</f>
        <v>169.99199999999999</v>
      </c>
      <c r="G56" s="70">
        <f>DRE_ACM!H9/1000</f>
        <v>159.988</v>
      </c>
      <c r="H56" s="70">
        <f>DRE_ACM!I9/1000</f>
        <v>191.26</v>
      </c>
      <c r="I56" s="70">
        <f>SUM(AK56:AN56)</f>
        <v>335.358</v>
      </c>
      <c r="J56" s="70">
        <f>SUM(AO56:AR56)</f>
        <v>362.97699999999998</v>
      </c>
      <c r="K56" s="70">
        <f>SUM(AS56:AV56)</f>
        <v>595.20699999999999</v>
      </c>
      <c r="L56" s="70">
        <f>SUM(AW56:AZ56)</f>
        <v>701.05399999999997</v>
      </c>
      <c r="M56" s="70">
        <f>SUM(BA56:BD56)</f>
        <v>1043.299</v>
      </c>
      <c r="N56" s="70">
        <f>SUM(BE56:BH56)</f>
        <v>1246.0060000000001</v>
      </c>
      <c r="O56" s="70">
        <f>SUM(BI56:BL56)</f>
        <v>2531.5029999999997</v>
      </c>
      <c r="P56" s="70">
        <f>SUM(BM56:BP56)</f>
        <v>2484.3710000000001</v>
      </c>
      <c r="Q56" s="64"/>
      <c r="R56" s="70">
        <f>SUM(AK56:AM56)</f>
        <v>234.089</v>
      </c>
      <c r="S56" s="70">
        <f>SUM(AO56:AQ56)</f>
        <v>215.73400000000001</v>
      </c>
      <c r="T56" s="70">
        <f>SUM(AS56:AU56)</f>
        <v>393.59299999999996</v>
      </c>
      <c r="U56" s="70">
        <f>SUM(AW56:AY56)</f>
        <v>505.78300000000002</v>
      </c>
      <c r="V56" s="70">
        <f>SUM(BA56:BC56)</f>
        <v>652.51900000000001</v>
      </c>
      <c r="W56" s="70">
        <f>SUM(BE56:BG56)</f>
        <v>819.27800000000002</v>
      </c>
      <c r="X56" s="70">
        <f>SUM(BI56:BK56)</f>
        <v>1847.5349999999999</v>
      </c>
      <c r="Y56" s="70">
        <f>SUM(BM56:BO56)</f>
        <v>1780.106</v>
      </c>
      <c r="Z56" s="64"/>
      <c r="AA56" s="70">
        <f>SUM(AK56:AL56)</f>
        <v>154.67400000000001</v>
      </c>
      <c r="AB56" s="70">
        <f>SUM(AO56:AP56)</f>
        <v>110.65100000000001</v>
      </c>
      <c r="AC56" s="70">
        <f>SUM(AS56:AT56)</f>
        <v>197.48099999999999</v>
      </c>
      <c r="AD56" s="70">
        <f>SUM(AW56:AX56)</f>
        <v>292.78300000000002</v>
      </c>
      <c r="AE56" s="70">
        <f>SUM(BA56:BB56)</f>
        <v>411.28500000000003</v>
      </c>
      <c r="AF56" s="70">
        <f>SUM(BE56:BF56)</f>
        <v>444.404</v>
      </c>
      <c r="AG56" s="70">
        <f>SUM(BI56:BJ56)</f>
        <v>1216.981</v>
      </c>
      <c r="AH56" s="70">
        <f>SUM(BM56:BN56)</f>
        <v>1235.029</v>
      </c>
      <c r="AI56" s="70">
        <f>SUM(BQ56:BR56)</f>
        <v>1446.4449999999999</v>
      </c>
      <c r="AK56" s="70">
        <f>DRE_TRI!C9/1000</f>
        <v>58.569000000000003</v>
      </c>
      <c r="AL56" s="70">
        <f>DRE_TRI!D9/1000</f>
        <v>96.105000000000004</v>
      </c>
      <c r="AM56" s="70">
        <f>DRE_TRI!E9/1000</f>
        <v>79.415000000000006</v>
      </c>
      <c r="AN56" s="70">
        <f>DRE_TRI!F9/1000</f>
        <v>101.26900000000001</v>
      </c>
      <c r="AO56" s="70">
        <f>DRE_TRI!H9/1000</f>
        <v>54.17</v>
      </c>
      <c r="AP56" s="70">
        <f>DRE_TRI!I9/1000</f>
        <v>56.481000000000002</v>
      </c>
      <c r="AQ56" s="70">
        <f>DRE_TRI!J9/1000</f>
        <v>105.083</v>
      </c>
      <c r="AR56" s="70">
        <f>DRE_TRI!K9/1000</f>
        <v>147.24299999999999</v>
      </c>
      <c r="AS56" s="70">
        <f>DRE_TRI!M9/1000</f>
        <v>68.254000000000005</v>
      </c>
      <c r="AT56" s="70">
        <f>DRE_TRI!N9/1000</f>
        <v>129.227</v>
      </c>
      <c r="AU56" s="70">
        <f>DRE_TRI!O9/1000</f>
        <v>196.11199999999999</v>
      </c>
      <c r="AV56" s="70">
        <f>DRE_TRI!P9/1000</f>
        <v>201.614</v>
      </c>
      <c r="AW56" s="70">
        <f>DRE_TRI!R9/1000</f>
        <v>107.245</v>
      </c>
      <c r="AX56" s="70">
        <f>DRE_TRI!S9/1000</f>
        <v>185.53800000000001</v>
      </c>
      <c r="AY56" s="70">
        <f>DRE_TRI!T9/1000</f>
        <v>213</v>
      </c>
      <c r="AZ56" s="70">
        <f>DRE_TRI!U9/1000</f>
        <v>195.27099999999999</v>
      </c>
      <c r="BA56" s="70">
        <f>DRE_TRI!W9/1000</f>
        <v>158.19300000000001</v>
      </c>
      <c r="BB56" s="70">
        <f>DRE_TRI!X9/1000</f>
        <v>253.09200000000001</v>
      </c>
      <c r="BC56" s="70">
        <f>DRE_TRI!Y9/1000</f>
        <v>241.23400000000001</v>
      </c>
      <c r="BD56" s="70">
        <f>DRE_TRI!Z9/1000</f>
        <v>390.78</v>
      </c>
      <c r="BE56" s="70">
        <f>DRE_TRI!AB9/1000</f>
        <v>260.15594586999947</v>
      </c>
      <c r="BF56" s="70">
        <f>DRE_TRI!AC9/1000</f>
        <v>184.24805413000053</v>
      </c>
      <c r="BG56" s="70">
        <f>DRE_TRI!AD9/1000</f>
        <v>374.87400000000002</v>
      </c>
      <c r="BH56" s="70">
        <f>DRE_TRI!AE9/1000</f>
        <v>426.72800000000001</v>
      </c>
      <c r="BI56" s="70">
        <f>DRE_TRI!AG9/1000</f>
        <v>500.78100000000001</v>
      </c>
      <c r="BJ56" s="70">
        <f>DRE_TRI!AH9/1000</f>
        <v>716.2</v>
      </c>
      <c r="BK56" s="70">
        <f>DRE_TRI!AI9/1000</f>
        <v>630.55399999999997</v>
      </c>
      <c r="BL56" s="70">
        <f>DRE_TRI!AJ9/1000</f>
        <v>683.96799999999996</v>
      </c>
      <c r="BM56" s="70">
        <f>DRE_TRI!AL9/1000</f>
        <v>511.33300000000003</v>
      </c>
      <c r="BN56" s="70">
        <f>DRE_TRI!AM9/1000</f>
        <v>723.69600000000003</v>
      </c>
      <c r="BO56" s="70">
        <f>DRE_TRI!AN9/1000</f>
        <v>545.077</v>
      </c>
      <c r="BP56" s="70">
        <f>DRE_TRI!AO9/1000</f>
        <v>704.26499999999999</v>
      </c>
      <c r="BQ56" s="70">
        <f>DRE_TRI!AQ9/1000</f>
        <v>651.07299999999998</v>
      </c>
      <c r="BR56" s="167">
        <f>DRE_TRI!AR9/1000</f>
        <v>795.37199999999996</v>
      </c>
    </row>
    <row r="57" spans="1:70" x14ac:dyDescent="0.25">
      <c r="A57" s="85" t="s">
        <v>191</v>
      </c>
      <c r="B57" s="79">
        <f>B56/B20</f>
        <v>0.15969048846862763</v>
      </c>
      <c r="C57" s="79">
        <f t="shared" ref="C57:AF57" si="190">C56/C20</f>
        <v>0.12931903755033983</v>
      </c>
      <c r="D57" s="79">
        <f t="shared" si="190"/>
        <v>0.10172542287166793</v>
      </c>
      <c r="E57" s="79">
        <f t="shared" si="190"/>
        <v>0.16235765320472431</v>
      </c>
      <c r="F57" s="79">
        <f t="shared" si="190"/>
        <v>0.15263194754960321</v>
      </c>
      <c r="G57" s="79">
        <f t="shared" si="190"/>
        <v>0.14032779523235642</v>
      </c>
      <c r="H57" s="79">
        <f t="shared" si="190"/>
        <v>0.14422773302738026</v>
      </c>
      <c r="I57" s="79">
        <f t="shared" si="190"/>
        <v>0.17452282624229251</v>
      </c>
      <c r="J57" s="79">
        <f t="shared" si="190"/>
        <v>0.16207434370243229</v>
      </c>
      <c r="K57" s="79">
        <f t="shared" si="190"/>
        <v>0.19135977691668996</v>
      </c>
      <c r="L57" s="79">
        <f t="shared" si="190"/>
        <v>0.13130031179455515</v>
      </c>
      <c r="M57" s="79">
        <f t="shared" ref="M57:N57" si="191">M56/M20</f>
        <v>0.15151370066475556</v>
      </c>
      <c r="N57" s="79">
        <f t="shared" si="191"/>
        <v>0.13846072819552721</v>
      </c>
      <c r="O57" s="79">
        <f t="shared" ref="O57:P57" si="192">O56/O20</f>
        <v>0.19737627776592429</v>
      </c>
      <c r="P57" s="79">
        <f t="shared" si="192"/>
        <v>0.1512674913546864</v>
      </c>
      <c r="Q57" s="86"/>
      <c r="R57" s="79">
        <f t="shared" si="190"/>
        <v>0.17547396068564411</v>
      </c>
      <c r="S57" s="79">
        <f t="shared" si="190"/>
        <v>0.13890825109821797</v>
      </c>
      <c r="T57" s="79">
        <f t="shared" si="190"/>
        <v>0.18721452064762137</v>
      </c>
      <c r="U57" s="79">
        <f t="shared" si="190"/>
        <v>0.13654318694627016</v>
      </c>
      <c r="V57" s="79">
        <f t="shared" ref="V57:W57" si="193">V56/V20</f>
        <v>0.14278177315619339</v>
      </c>
      <c r="W57" s="79">
        <f t="shared" si="193"/>
        <v>0.13724641194763648</v>
      </c>
      <c r="X57" s="79">
        <f t="shared" ref="X57:Y57" si="194">X56/X20</f>
        <v>0.20591654591840203</v>
      </c>
      <c r="Y57" s="79">
        <f t="shared" si="194"/>
        <v>0.14764253709695083</v>
      </c>
      <c r="Z57" s="86"/>
      <c r="AA57" s="79">
        <f t="shared" si="190"/>
        <v>0.1924204955482747</v>
      </c>
      <c r="AB57" s="79">
        <f t="shared" si="190"/>
        <v>0.11517617997008049</v>
      </c>
      <c r="AC57" s="79">
        <f t="shared" si="190"/>
        <v>0.15743934517796365</v>
      </c>
      <c r="AD57" s="79">
        <f t="shared" si="190"/>
        <v>0.14827060754471796</v>
      </c>
      <c r="AE57" s="79">
        <f t="shared" si="190"/>
        <v>0.14844948890853449</v>
      </c>
      <c r="AF57" s="79">
        <f t="shared" si="190"/>
        <v>0.12465559592742727</v>
      </c>
      <c r="AG57" s="79">
        <f>AG56/AG20</f>
        <v>0.22225156893346179</v>
      </c>
      <c r="AH57" s="79">
        <f>AH56/AH20</f>
        <v>0.17488411383205715</v>
      </c>
      <c r="AI57" s="79">
        <f>AI56/AI20</f>
        <v>0.16238784795046615</v>
      </c>
      <c r="AJ57" s="86"/>
      <c r="AK57" s="79">
        <f t="shared" ref="AK57:AY57" si="195">AK56/AK20</f>
        <v>0.17502340757656007</v>
      </c>
      <c r="AL57" s="79">
        <f t="shared" si="195"/>
        <v>0.20482821699706552</v>
      </c>
      <c r="AM57" s="79">
        <f t="shared" si="195"/>
        <v>0.14978165996517198</v>
      </c>
      <c r="AN57" s="79">
        <f t="shared" si="195"/>
        <v>0.17236320163340724</v>
      </c>
      <c r="AO57" s="79">
        <f t="shared" si="195"/>
        <v>0.12072479987362786</v>
      </c>
      <c r="AP57" s="79">
        <f t="shared" si="195"/>
        <v>0.11031352235465514</v>
      </c>
      <c r="AQ57" s="79">
        <f t="shared" si="195"/>
        <v>0.1773979425836246</v>
      </c>
      <c r="AR57" s="79">
        <f t="shared" si="195"/>
        <v>0.21448276584370657</v>
      </c>
      <c r="AS57" s="79">
        <f t="shared" si="195"/>
        <v>0.13282488302828657</v>
      </c>
      <c r="AT57" s="79">
        <f t="shared" si="195"/>
        <v>0.1745211528318048</v>
      </c>
      <c r="AU57" s="79">
        <f t="shared" si="195"/>
        <v>0.23125516257064249</v>
      </c>
      <c r="AV57" s="79">
        <f t="shared" si="195"/>
        <v>0.20000506622294631</v>
      </c>
      <c r="AW57" s="79">
        <f t="shared" si="195"/>
        <v>0.13941084634453568</v>
      </c>
      <c r="AX57" s="79">
        <f t="shared" si="195"/>
        <v>0.15392490334998091</v>
      </c>
      <c r="AY57" s="79">
        <f t="shared" si="195"/>
        <v>0.12315377743857488</v>
      </c>
      <c r="AZ57" s="79">
        <f t="shared" ref="AZ57:BE57" si="196">AZ56/AZ20</f>
        <v>0.11942310502030096</v>
      </c>
      <c r="BA57" s="79">
        <f t="shared" si="196"/>
        <v>0.12424493514551516</v>
      </c>
      <c r="BB57" s="79">
        <f t="shared" si="196"/>
        <v>0.16903188144504733</v>
      </c>
      <c r="BC57" s="79">
        <f t="shared" si="196"/>
        <v>0.12314693054103501</v>
      </c>
      <c r="BD57" s="79">
        <f t="shared" si="196"/>
        <v>0.18121962224811941</v>
      </c>
      <c r="BE57" s="79">
        <f t="shared" si="196"/>
        <v>0.14415499666979895</v>
      </c>
      <c r="BF57" s="79">
        <f t="shared" ref="BF57:BG57" si="197">BF56/BF20</f>
        <v>0.10466507159191764</v>
      </c>
      <c r="BG57" s="79">
        <f t="shared" si="197"/>
        <v>0.15591554519597611</v>
      </c>
      <c r="BH57" s="79">
        <f t="shared" ref="BH57:BI57" si="198">BH56/BH20</f>
        <v>0.14085337288605765</v>
      </c>
      <c r="BI57" s="79">
        <f t="shared" si="198"/>
        <v>0.18691281616144273</v>
      </c>
      <c r="BJ57" s="79">
        <f t="shared" ref="BJ57:BK57" si="199">BJ56/BJ20</f>
        <v>0.25610868563177352</v>
      </c>
      <c r="BK57" s="79">
        <f t="shared" si="199"/>
        <v>0.18033553305782224</v>
      </c>
      <c r="BL57" s="79">
        <f t="shared" ref="BL57" si="200">BL56/BL20</f>
        <v>0.17749174820848856</v>
      </c>
      <c r="BM57" s="79">
        <f t="shared" ref="BM57:BO57" si="201">BM56/BM20</f>
        <v>0.14613238331573661</v>
      </c>
      <c r="BN57" s="79">
        <f t="shared" si="201"/>
        <v>0.2031212412247447</v>
      </c>
      <c r="BO57" s="79">
        <f t="shared" si="201"/>
        <v>0.1091271680455122</v>
      </c>
      <c r="BP57" s="79">
        <f t="shared" ref="BP57:BR57" si="202">BP56/BP20</f>
        <v>0.16127602860656357</v>
      </c>
      <c r="BQ57" s="79">
        <f t="shared" si="202"/>
        <v>0.1547613545054827</v>
      </c>
      <c r="BR57" s="79">
        <f t="shared" si="202"/>
        <v>0.16921370684021195</v>
      </c>
    </row>
    <row r="58" spans="1:70" x14ac:dyDescent="0.25">
      <c r="A58" s="85"/>
      <c r="B58" s="87"/>
      <c r="C58" s="87"/>
      <c r="D58" s="87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18"/>
      <c r="BH58" s="18"/>
      <c r="BI58" s="18"/>
      <c r="BJ58" s="18"/>
      <c r="BK58" s="18"/>
      <c r="BL58" s="18"/>
      <c r="BM58" s="18"/>
      <c r="BN58" s="18"/>
    </row>
    <row r="59" spans="1:70" x14ac:dyDescent="0.25">
      <c r="A59" s="22" t="s">
        <v>192</v>
      </c>
      <c r="B59" s="18">
        <f t="shared" ref="B59:H59" si="203">SUM(B60,B61,B62)</f>
        <v>62.55302720000001</v>
      </c>
      <c r="C59" s="18">
        <f t="shared" si="203"/>
        <v>62.200404810000009</v>
      </c>
      <c r="D59" s="18">
        <f t="shared" si="203"/>
        <v>91.725088170000021</v>
      </c>
      <c r="E59" s="18">
        <f t="shared" si="203"/>
        <v>148.93063567000002</v>
      </c>
      <c r="F59" s="18">
        <f t="shared" si="203"/>
        <v>169.99199999999999</v>
      </c>
      <c r="G59" s="18">
        <f t="shared" si="203"/>
        <v>173.95431773000001</v>
      </c>
      <c r="H59" s="18">
        <f t="shared" si="203"/>
        <v>183.27210163999996</v>
      </c>
      <c r="I59" s="18">
        <f>SUM(AK59:AN59)</f>
        <v>367.89299999999997</v>
      </c>
      <c r="J59" s="18">
        <f>SUM(AO59:AR59)</f>
        <v>363.30699999999996</v>
      </c>
      <c r="K59" s="18">
        <f>SUM(AS59:AV59)</f>
        <v>579.38404269329999</v>
      </c>
      <c r="L59" s="18">
        <f>SUM(AW59:AZ59)</f>
        <v>814.92499999999995</v>
      </c>
      <c r="M59" s="18">
        <f>SUM(BA59:BD59)</f>
        <v>1090.9989999999998</v>
      </c>
      <c r="N59" s="18">
        <f t="shared" ref="N59:N62" si="204">SUM(BE59:BH59)</f>
        <v>1230.1342867925725</v>
      </c>
      <c r="O59" s="18">
        <f>SUM(BI59:BL59)</f>
        <v>2164.4037457114764</v>
      </c>
      <c r="P59" s="18">
        <f>SUM(BM59:BP59)</f>
        <v>2544.8305346461721</v>
      </c>
      <c r="Q59" s="80"/>
      <c r="R59" s="80">
        <f>SUM(AK59:AM59)</f>
        <v>234.08899999999997</v>
      </c>
      <c r="S59" s="80">
        <f>SUM(AO59:AQ59)</f>
        <v>216.45799999999997</v>
      </c>
      <c r="T59" s="80">
        <f>SUM(AS59:AU59)</f>
        <v>365.55665384330007</v>
      </c>
      <c r="U59" s="80">
        <f>SUM(AW59:AY59)</f>
        <v>525.92999999999995</v>
      </c>
      <c r="V59" s="80">
        <f>SUM(BA59:BC59)</f>
        <v>654.67599999999993</v>
      </c>
      <c r="W59" s="80">
        <f>SUM(BE59:BG59)</f>
        <v>733.52798495510979</v>
      </c>
      <c r="X59" s="80">
        <f>SUM(BI59:BK59)</f>
        <v>1436.085185516833</v>
      </c>
      <c r="Y59" s="80">
        <f>SUM(BM59:BO59)</f>
        <v>1888.775534646172</v>
      </c>
      <c r="Z59" s="80"/>
      <c r="AA59" s="80">
        <f>SUM(AK59:AL59)</f>
        <v>154.67399999999998</v>
      </c>
      <c r="AB59" s="80">
        <f>SUM(AO59:AP59)</f>
        <v>107.18799999999999</v>
      </c>
      <c r="AC59" s="80">
        <f>SUM(AS59:AT59)</f>
        <v>184.42314625329996</v>
      </c>
      <c r="AD59" s="80">
        <f>SUM(AW59:AX59)</f>
        <v>284.80899999999997</v>
      </c>
      <c r="AE59" s="80">
        <f>SUM(BA59:BB59)</f>
        <v>387.255</v>
      </c>
      <c r="AF59" s="80">
        <f>SUM(BE59:BF59)</f>
        <v>419.99503826999995</v>
      </c>
      <c r="AG59" s="28">
        <f>SUM(BI59:BJ59)</f>
        <v>828.9353590681726</v>
      </c>
      <c r="AH59" s="28">
        <f>SUM(BM59:BN59)</f>
        <v>1211.411534646172</v>
      </c>
      <c r="AI59" s="28">
        <f>SUM(BQ59:BR59)</f>
        <v>1337.8381845865283</v>
      </c>
      <c r="AJ59" s="28"/>
      <c r="AK59" s="18">
        <f t="shared" ref="AK59:BA59" si="205">AK60+AK61+AK62</f>
        <v>58.569000000000003</v>
      </c>
      <c r="AL59" s="18">
        <f t="shared" si="205"/>
        <v>96.10499999999999</v>
      </c>
      <c r="AM59" s="18">
        <f t="shared" si="205"/>
        <v>79.414999999999992</v>
      </c>
      <c r="AN59" s="18">
        <f t="shared" si="205"/>
        <v>133.804</v>
      </c>
      <c r="AO59" s="18">
        <f t="shared" si="205"/>
        <v>55.620999999999995</v>
      </c>
      <c r="AP59" s="18">
        <f t="shared" si="205"/>
        <v>51.566999999999993</v>
      </c>
      <c r="AQ59" s="18">
        <f t="shared" si="205"/>
        <v>109.27</v>
      </c>
      <c r="AR59" s="18">
        <f t="shared" si="205"/>
        <v>146.84899999999999</v>
      </c>
      <c r="AS59" s="18">
        <f t="shared" si="205"/>
        <v>76.68008617000001</v>
      </c>
      <c r="AT59" s="18">
        <f t="shared" si="205"/>
        <v>107.74306008329995</v>
      </c>
      <c r="AU59" s="18">
        <f t="shared" si="205"/>
        <v>181.13350759000008</v>
      </c>
      <c r="AV59" s="18">
        <f t="shared" si="205"/>
        <v>213.82738884999992</v>
      </c>
      <c r="AW59" s="18">
        <f t="shared" si="205"/>
        <v>121.898</v>
      </c>
      <c r="AX59" s="18">
        <f t="shared" si="205"/>
        <v>162.911</v>
      </c>
      <c r="AY59" s="18">
        <f t="shared" si="205"/>
        <v>241.12100000000001</v>
      </c>
      <c r="AZ59" s="18">
        <f t="shared" si="205"/>
        <v>288.995</v>
      </c>
      <c r="BA59" s="18">
        <f t="shared" si="205"/>
        <v>199.75200000000001</v>
      </c>
      <c r="BB59" s="18">
        <f t="shared" ref="BB59:BC59" si="206">BB60+BB61+BB62</f>
        <v>187.50300000000001</v>
      </c>
      <c r="BC59" s="18">
        <f t="shared" si="206"/>
        <v>267.42099999999999</v>
      </c>
      <c r="BD59" s="18">
        <f t="shared" ref="BD59" si="207">BD60+BD61+BD62</f>
        <v>436.32299999999998</v>
      </c>
      <c r="BE59" s="18">
        <f t="shared" ref="BE59:BJ59" si="208">BE60+BE61+BE62</f>
        <v>245.40100000000001</v>
      </c>
      <c r="BF59" s="18">
        <f t="shared" si="208"/>
        <v>174.59403826999994</v>
      </c>
      <c r="BG59" s="18">
        <f t="shared" si="208"/>
        <v>313.53294668510978</v>
      </c>
      <c r="BH59" s="18">
        <f t="shared" si="208"/>
        <v>496.60630183746275</v>
      </c>
      <c r="BI59" s="18">
        <f t="shared" si="208"/>
        <v>429.86135906817259</v>
      </c>
      <c r="BJ59" s="18">
        <f t="shared" si="208"/>
        <v>399.07400000000001</v>
      </c>
      <c r="BK59" s="18">
        <f t="shared" ref="BK59:BL59" si="209">BK60+BK61+BK62</f>
        <v>607.14982644866052</v>
      </c>
      <c r="BL59" s="18">
        <f t="shared" si="209"/>
        <v>728.31856019464317</v>
      </c>
      <c r="BM59" s="18">
        <f t="shared" ref="BM59:BN59" si="210">BM60+BM61+BM62</f>
        <v>635.48153464617189</v>
      </c>
      <c r="BN59" s="18">
        <f t="shared" si="210"/>
        <v>575.93000000000006</v>
      </c>
      <c r="BO59" s="18">
        <f>BO60+BO61+BO62</f>
        <v>677.36400000000003</v>
      </c>
      <c r="BP59" s="18">
        <f>BP60+BP61+BP62</f>
        <v>656.05499999999995</v>
      </c>
      <c r="BQ59" s="18">
        <f>BQ60+BQ61+BQ62</f>
        <v>808.19666982915624</v>
      </c>
      <c r="BR59" s="18">
        <f>BR60+BR61+BR62</f>
        <v>529.64151475737219</v>
      </c>
    </row>
    <row r="60" spans="1:70" x14ac:dyDescent="0.25">
      <c r="A60" s="62" t="s">
        <v>160</v>
      </c>
      <c r="B60" s="82">
        <v>24.138171986554262</v>
      </c>
      <c r="C60" s="82">
        <v>25.704325371878983</v>
      </c>
      <c r="D60" s="82">
        <v>26.847639772877965</v>
      </c>
      <c r="E60" s="82">
        <v>75.692635025937577</v>
      </c>
      <c r="F60" s="82">
        <v>62.445497980354091</v>
      </c>
      <c r="G60" s="82">
        <v>90.592469359928614</v>
      </c>
      <c r="H60" s="82">
        <v>98.946300121194199</v>
      </c>
      <c r="I60" s="142">
        <f>SUM(AK60:AN60)</f>
        <v>170.74799999999999</v>
      </c>
      <c r="J60" s="142">
        <f>SUM(AO60:AR60)</f>
        <v>192.81</v>
      </c>
      <c r="K60" s="142">
        <f>SUM(AS60:AV60)</f>
        <v>185.34608201329991</v>
      </c>
      <c r="L60" s="142">
        <f>SUM(AW60:AZ60)</f>
        <v>366.74</v>
      </c>
      <c r="M60" s="142">
        <f>SUM(BA60:BD60)</f>
        <v>600.673</v>
      </c>
      <c r="N60" s="142">
        <f t="shared" si="204"/>
        <v>446.90351010999996</v>
      </c>
      <c r="O60" s="142">
        <f>SUM(BI60:BL60)</f>
        <v>508.31840383999997</v>
      </c>
      <c r="P60" s="142">
        <f>SUM(BM60:BP60)</f>
        <v>687.05771992000007</v>
      </c>
      <c r="Q60" s="80"/>
      <c r="R60" s="144">
        <f>SUM(AK60:AM60)</f>
        <v>66.477000000000004</v>
      </c>
      <c r="S60" s="144">
        <f>SUM(AO60:AQ60)</f>
        <v>100.09100000000001</v>
      </c>
      <c r="T60" s="144">
        <f>SUM(AS60:AU60)</f>
        <v>95.397230783299989</v>
      </c>
      <c r="U60" s="144">
        <f>SUM(AW60:AY60)</f>
        <v>181.113</v>
      </c>
      <c r="V60" s="144">
        <f>SUM(BA60:BC60)</f>
        <v>314.46000000000004</v>
      </c>
      <c r="W60" s="144">
        <f>SUM(BE60:BG60)</f>
        <v>257.15783977000001</v>
      </c>
      <c r="X60" s="144">
        <f>SUM(BI60:BK60)</f>
        <v>267.36523444000017</v>
      </c>
      <c r="Y60" s="144">
        <f>SUM(BM60:BO60)</f>
        <v>382.51571992000009</v>
      </c>
      <c r="Z60" s="80"/>
      <c r="AA60" s="144">
        <f>SUM(AK60:AL60)</f>
        <v>35.875</v>
      </c>
      <c r="AB60" s="144">
        <f>SUM(AO60:AP60)</f>
        <v>42.884999999999998</v>
      </c>
      <c r="AC60" s="144">
        <f>SUM(AS60:AT60)</f>
        <v>40.678039693300001</v>
      </c>
      <c r="AD60" s="144">
        <f>SUM(AW60:AX60)</f>
        <v>85.230999999999995</v>
      </c>
      <c r="AE60" s="144">
        <f>SUM(BA60:BB60)</f>
        <v>158.13200000000001</v>
      </c>
      <c r="AF60" s="144">
        <f>SUM(BE60:BF60)</f>
        <v>134.67104914000004</v>
      </c>
      <c r="AG60" s="143">
        <f t="shared" ref="AG60:AG62" si="211">SUM(BI60:BJ60)</f>
        <v>153.27645939999999</v>
      </c>
      <c r="AH60" s="143">
        <f>SUM(BM60:BN60)</f>
        <v>184.79871992000011</v>
      </c>
      <c r="AI60" s="143">
        <f>SUM(BQ60:BR60)</f>
        <v>284.51763373999995</v>
      </c>
      <c r="AJ60" s="28"/>
      <c r="AK60" s="82">
        <v>27.596</v>
      </c>
      <c r="AL60" s="82">
        <v>8.2789999999999999</v>
      </c>
      <c r="AM60" s="82">
        <v>30.602</v>
      </c>
      <c r="AN60" s="82">
        <v>104.271</v>
      </c>
      <c r="AO60" s="82">
        <v>31.744999999999997</v>
      </c>
      <c r="AP60" s="82">
        <v>11.139999999999999</v>
      </c>
      <c r="AQ60" s="82">
        <v>57.206000000000003</v>
      </c>
      <c r="AR60" s="82">
        <v>92.718999999999994</v>
      </c>
      <c r="AS60" s="82">
        <v>31.396977020000019</v>
      </c>
      <c r="AT60" s="82">
        <v>9.2810626732999815</v>
      </c>
      <c r="AU60" s="82">
        <v>54.719191089999981</v>
      </c>
      <c r="AV60" s="82">
        <v>89.948851229999917</v>
      </c>
      <c r="AW60" s="82">
        <v>48.421999999999997</v>
      </c>
      <c r="AX60" s="82">
        <v>36.809000000000005</v>
      </c>
      <c r="AY60" s="82">
        <v>95.882000000000005</v>
      </c>
      <c r="AZ60" s="82">
        <v>185.62700000000001</v>
      </c>
      <c r="BA60" s="82">
        <v>78.322000000000003</v>
      </c>
      <c r="BB60" s="82">
        <v>79.81</v>
      </c>
      <c r="BC60" s="82">
        <v>156.328</v>
      </c>
      <c r="BD60" s="82">
        <v>286.21300000000002</v>
      </c>
      <c r="BE60" s="82">
        <v>78.866</v>
      </c>
      <c r="BF60" s="82">
        <v>55.80504914000003</v>
      </c>
      <c r="BG60" s="82">
        <v>122.48679063</v>
      </c>
      <c r="BH60" s="82">
        <v>189.74567033999998</v>
      </c>
      <c r="BI60" s="82">
        <v>116.8614594</v>
      </c>
      <c r="BJ60" s="82">
        <v>36.414999999999999</v>
      </c>
      <c r="BK60" s="82">
        <v>114.08877504000017</v>
      </c>
      <c r="BL60" s="82">
        <v>240.95316939999984</v>
      </c>
      <c r="BM60" s="82">
        <v>113.44971992000012</v>
      </c>
      <c r="BN60" s="82">
        <v>71.34899999999999</v>
      </c>
      <c r="BO60" s="82">
        <v>197.71699999999998</v>
      </c>
      <c r="BP60" s="82">
        <v>304.54199999999997</v>
      </c>
      <c r="BQ60" s="82">
        <v>188.21100000000001</v>
      </c>
      <c r="BR60" s="82">
        <v>96.30663373999991</v>
      </c>
    </row>
    <row r="61" spans="1:70" x14ac:dyDescent="0.25">
      <c r="A61" s="62" t="s">
        <v>163</v>
      </c>
      <c r="B61" s="82">
        <v>38.414855213445747</v>
      </c>
      <c r="C61" s="82">
        <v>36.496079438121022</v>
      </c>
      <c r="D61" s="82">
        <v>25.12435445698533</v>
      </c>
      <c r="E61" s="82">
        <v>27.07663208005598</v>
      </c>
      <c r="F61" s="82">
        <v>30.078501022862273</v>
      </c>
      <c r="G61" s="82">
        <v>20.363402420253983</v>
      </c>
      <c r="H61" s="82">
        <v>37.257867846175166</v>
      </c>
      <c r="I61" s="142">
        <f>SUM(AK61:AN61)</f>
        <v>41.432000000000002</v>
      </c>
      <c r="J61" s="142">
        <f>SUM(AO61:AR61)</f>
        <v>54.522999999999996</v>
      </c>
      <c r="K61" s="142">
        <f>SUM(AS61:AV61)</f>
        <v>51.578813480000022</v>
      </c>
      <c r="L61" s="142">
        <f>SUM(AW61:AZ61)</f>
        <v>111.663</v>
      </c>
      <c r="M61" s="142">
        <f>SUM(BA61:BD61)</f>
        <v>133.54500000000002</v>
      </c>
      <c r="N61" s="142">
        <f t="shared" si="204"/>
        <v>157.91834700422501</v>
      </c>
      <c r="O61" s="142">
        <f>SUM(BI61:BL61)</f>
        <v>343.40615221883792</v>
      </c>
      <c r="P61" s="142">
        <f>SUM(BM61:BP61)</f>
        <v>548.31071867155504</v>
      </c>
      <c r="Q61" s="28"/>
      <c r="R61" s="144">
        <f>SUM(AK61:AM61)</f>
        <v>43.998000000000005</v>
      </c>
      <c r="S61" s="144">
        <f>SUM(AO61:AQ61)</f>
        <v>59.481999999999999</v>
      </c>
      <c r="T61" s="144">
        <f>SUM(AS61:AU61)</f>
        <v>39.86452562000008</v>
      </c>
      <c r="U61" s="144">
        <f>SUM(AW61:AY61)</f>
        <v>79.447999999999993</v>
      </c>
      <c r="V61" s="144">
        <f>SUM(BA61:BC61)</f>
        <v>79.915000000000006</v>
      </c>
      <c r="W61" s="144">
        <f>SUM(BE61:BG61)</f>
        <v>128.03514343739167</v>
      </c>
      <c r="X61" s="144">
        <f>SUM(BI61:BK61)</f>
        <v>224.8801012991926</v>
      </c>
      <c r="Y61" s="144">
        <f>SUM(BM61:BO61)</f>
        <v>416.85371867155504</v>
      </c>
      <c r="Z61" s="28"/>
      <c r="AA61" s="144">
        <f>SUM(AK61:AL61)</f>
        <v>37.533000000000001</v>
      </c>
      <c r="AB61" s="144">
        <f>SUM(AO61:AP61)</f>
        <v>37.500999999999998</v>
      </c>
      <c r="AC61" s="144">
        <f>SUM(AS61:AT61)</f>
        <v>32.95784307000001</v>
      </c>
      <c r="AD61" s="144">
        <f>SUM(AW61:AX61)</f>
        <v>38.959999999999994</v>
      </c>
      <c r="AE61" s="144">
        <f>SUM(BA61:BB61)</f>
        <v>53.821000000000005</v>
      </c>
      <c r="AF61" s="144">
        <f>SUM(BE61:BF61)</f>
        <v>89.086957129999973</v>
      </c>
      <c r="AG61" s="143">
        <f t="shared" si="211"/>
        <v>112.2791012991926</v>
      </c>
      <c r="AH61" s="143">
        <f>SUM(BM61:BN61)</f>
        <v>212.97471867155505</v>
      </c>
      <c r="AI61" s="143">
        <f t="shared" ref="AI61:AI62" si="212">SUM(BQ61:BR61)</f>
        <v>448.73883850835682</v>
      </c>
      <c r="AJ61" s="28"/>
      <c r="AK61" s="82">
        <v>9.5629999999999988</v>
      </c>
      <c r="AL61" s="82">
        <v>27.97</v>
      </c>
      <c r="AM61" s="82">
        <v>6.4650000000000016</v>
      </c>
      <c r="AN61" s="82">
        <v>-2.5659999999999998</v>
      </c>
      <c r="AO61" s="82">
        <v>14.624000000000001</v>
      </c>
      <c r="AP61" s="82">
        <v>22.876999999999999</v>
      </c>
      <c r="AQ61" s="82">
        <v>21.980999999999998</v>
      </c>
      <c r="AR61" s="82">
        <v>-4.9589999999999996</v>
      </c>
      <c r="AS61" s="82">
        <v>12.266378060000008</v>
      </c>
      <c r="AT61" s="82">
        <v>20.691465009999998</v>
      </c>
      <c r="AU61" s="82">
        <v>6.9066825500000739</v>
      </c>
      <c r="AV61" s="82">
        <v>11.71428785999994</v>
      </c>
      <c r="AW61" s="82">
        <v>8.9669999999999987</v>
      </c>
      <c r="AX61" s="82">
        <v>29.992999999999999</v>
      </c>
      <c r="AY61" s="82">
        <v>40.488</v>
      </c>
      <c r="AZ61" s="82">
        <v>32.215000000000003</v>
      </c>
      <c r="BA61" s="82">
        <v>36.654000000000003</v>
      </c>
      <c r="BB61" s="82">
        <v>17.167000000000002</v>
      </c>
      <c r="BC61" s="82">
        <v>26.094000000000001</v>
      </c>
      <c r="BD61" s="82">
        <v>53.629999999999995</v>
      </c>
      <c r="BE61" s="82">
        <v>51.63</v>
      </c>
      <c r="BF61" s="82">
        <v>37.456957129999964</v>
      </c>
      <c r="BG61" s="82">
        <v>38.948186307391701</v>
      </c>
      <c r="BH61" s="82">
        <v>29.883203566833352</v>
      </c>
      <c r="BI61" s="82">
        <v>62.812101299192605</v>
      </c>
      <c r="BJ61" s="82">
        <v>49.466999999999999</v>
      </c>
      <c r="BK61" s="82">
        <v>112.601</v>
      </c>
      <c r="BL61" s="82">
        <v>118.52605091964531</v>
      </c>
      <c r="BM61" s="82">
        <v>124.46971867155506</v>
      </c>
      <c r="BN61" s="82">
        <v>88.504999999999995</v>
      </c>
      <c r="BO61" s="82">
        <v>203.87900000000002</v>
      </c>
      <c r="BP61" s="82">
        <v>131.45699999999999</v>
      </c>
      <c r="BQ61" s="82">
        <v>260.21900269520597</v>
      </c>
      <c r="BR61" s="82">
        <v>188.51983581315082</v>
      </c>
    </row>
    <row r="62" spans="1:70" x14ac:dyDescent="0.25">
      <c r="A62" s="62" t="s">
        <v>167</v>
      </c>
      <c r="B62" s="82">
        <v>0</v>
      </c>
      <c r="C62" s="82">
        <v>0</v>
      </c>
      <c r="D62" s="82">
        <v>39.753093940136729</v>
      </c>
      <c r="E62" s="82">
        <v>46.161368564006466</v>
      </c>
      <c r="F62" s="82">
        <v>77.46800099678363</v>
      </c>
      <c r="G62" s="82">
        <v>62.998445949817423</v>
      </c>
      <c r="H62" s="82">
        <v>47.067933672630602</v>
      </c>
      <c r="I62" s="142">
        <f>SUM(AK62:AN62)</f>
        <v>155.71299999999999</v>
      </c>
      <c r="J62" s="142">
        <f>SUM(AO62:AR62)</f>
        <v>115.97399999999999</v>
      </c>
      <c r="K62" s="142">
        <f>SUM(AS62:AV62)</f>
        <v>342.45914720000002</v>
      </c>
      <c r="L62" s="142">
        <f>SUM(AW62:AZ62)</f>
        <v>336.52200000000005</v>
      </c>
      <c r="M62" s="142">
        <f>SUM(BA62:BD62)</f>
        <v>356.78100000000006</v>
      </c>
      <c r="N62" s="142">
        <f t="shared" si="204"/>
        <v>625.31242967834748</v>
      </c>
      <c r="O62" s="142">
        <f>SUM(BI62:BL62)</f>
        <v>1312.6791896526383</v>
      </c>
      <c r="P62" s="142">
        <f>SUM(BM62:BP62)</f>
        <v>1309.4620960546167</v>
      </c>
      <c r="Q62" s="28"/>
      <c r="R62" s="144">
        <f>SUM(AK62:AM62)</f>
        <v>123.614</v>
      </c>
      <c r="S62" s="144">
        <f>SUM(AO62:AQ62)</f>
        <v>56.884999999999998</v>
      </c>
      <c r="T62" s="144">
        <f>SUM(AS62:AU62)</f>
        <v>230.29489743999997</v>
      </c>
      <c r="U62" s="144">
        <f>SUM(AW62:AY62)</f>
        <v>265.36900000000003</v>
      </c>
      <c r="V62" s="144">
        <f>SUM(BA62:BC62)</f>
        <v>260.30100000000004</v>
      </c>
      <c r="W62" s="144">
        <f>SUM(BE62:BG62)</f>
        <v>348.33500174771802</v>
      </c>
      <c r="X62" s="144">
        <f>SUM(BI62:BK62)</f>
        <v>943.83984977764032</v>
      </c>
      <c r="Y62" s="144">
        <f>SUM(BM62:BO62)</f>
        <v>1089.4060960546167</v>
      </c>
      <c r="Z62" s="28"/>
      <c r="AA62" s="144">
        <f>SUM(AK62:AL62)</f>
        <v>81.266000000000005</v>
      </c>
      <c r="AB62" s="144">
        <f>SUM(AO62:AP62)</f>
        <v>26.802</v>
      </c>
      <c r="AC62" s="144">
        <f>SUM(AS62:AT62)</f>
        <v>110.78726348999996</v>
      </c>
      <c r="AD62" s="144">
        <f>SUM(AW62:AX62)</f>
        <v>160.61799999999999</v>
      </c>
      <c r="AE62" s="144">
        <f>SUM(BA62:BB62)</f>
        <v>175.30200000000002</v>
      </c>
      <c r="AF62" s="144">
        <f>SUM(BE62:BF62)</f>
        <v>196.23703199999994</v>
      </c>
      <c r="AG62" s="143">
        <f t="shared" si="211"/>
        <v>563.37979836898</v>
      </c>
      <c r="AH62" s="143">
        <f>SUM(BM62:BN62)</f>
        <v>813.63809605461677</v>
      </c>
      <c r="AI62" s="143">
        <f t="shared" si="212"/>
        <v>604.58171233817177</v>
      </c>
      <c r="AJ62" s="28"/>
      <c r="AK62" s="82">
        <v>21.41</v>
      </c>
      <c r="AL62" s="82">
        <v>59.856000000000002</v>
      </c>
      <c r="AM62" s="82">
        <v>42.347999999999999</v>
      </c>
      <c r="AN62" s="82">
        <v>32.098999999999997</v>
      </c>
      <c r="AO62" s="82">
        <v>9.2519999999999989</v>
      </c>
      <c r="AP62" s="82">
        <v>17.55</v>
      </c>
      <c r="AQ62" s="82">
        <v>30.082999999999998</v>
      </c>
      <c r="AR62" s="82">
        <v>59.088999999999999</v>
      </c>
      <c r="AS62" s="82">
        <v>33.016731089999979</v>
      </c>
      <c r="AT62" s="82">
        <v>77.770532399999979</v>
      </c>
      <c r="AU62" s="82">
        <v>119.50763395000001</v>
      </c>
      <c r="AV62" s="82">
        <v>112.16424976000006</v>
      </c>
      <c r="AW62" s="82">
        <v>64.509</v>
      </c>
      <c r="AX62" s="82">
        <v>96.109000000000009</v>
      </c>
      <c r="AY62" s="82">
        <v>104.751</v>
      </c>
      <c r="AZ62" s="82">
        <v>71.153000000000006</v>
      </c>
      <c r="BA62" s="82">
        <v>84.775999999999996</v>
      </c>
      <c r="BB62" s="82">
        <v>90.52600000000001</v>
      </c>
      <c r="BC62" s="82">
        <v>84.998999999999995</v>
      </c>
      <c r="BD62" s="82">
        <v>96.47999999999999</v>
      </c>
      <c r="BE62" s="82">
        <v>114.905</v>
      </c>
      <c r="BF62" s="82">
        <v>81.332031999999941</v>
      </c>
      <c r="BG62" s="82">
        <v>152.09796974771808</v>
      </c>
      <c r="BH62" s="82">
        <v>276.97742793062946</v>
      </c>
      <c r="BI62" s="82">
        <v>250.18779836898</v>
      </c>
      <c r="BJ62" s="82">
        <v>313.19200000000001</v>
      </c>
      <c r="BK62" s="82">
        <v>380.46005140866032</v>
      </c>
      <c r="BL62" s="82">
        <v>368.83933987499802</v>
      </c>
      <c r="BM62" s="82">
        <v>397.56209605461675</v>
      </c>
      <c r="BN62" s="82">
        <v>416.07600000000002</v>
      </c>
      <c r="BO62" s="82">
        <v>275.76800000000003</v>
      </c>
      <c r="BP62" s="82">
        <v>220.05600000000001</v>
      </c>
      <c r="BQ62" s="82">
        <v>359.76666713395031</v>
      </c>
      <c r="BR62" s="82">
        <v>244.81504520422146</v>
      </c>
    </row>
    <row r="63" spans="1:70" x14ac:dyDescent="0.25">
      <c r="A63" s="62"/>
      <c r="B63" s="27"/>
      <c r="C63" s="27"/>
      <c r="D63" s="27"/>
      <c r="E63" s="27"/>
      <c r="F63" s="27"/>
      <c r="G63" s="27"/>
      <c r="H63" s="27"/>
      <c r="I63" s="18"/>
      <c r="J63" s="18"/>
      <c r="K63" s="18"/>
      <c r="L63" s="18"/>
      <c r="M63" s="18"/>
      <c r="N63" s="18"/>
      <c r="O63" s="18"/>
      <c r="P63" s="18"/>
      <c r="Q63" s="28"/>
      <c r="R63" s="80"/>
      <c r="S63" s="80"/>
      <c r="T63" s="80"/>
      <c r="U63" s="80"/>
      <c r="V63" s="80"/>
      <c r="W63" s="80"/>
      <c r="X63" s="80"/>
      <c r="Y63" s="80"/>
      <c r="Z63" s="28"/>
      <c r="AA63" s="80"/>
      <c r="AB63" s="80"/>
      <c r="AC63" s="80"/>
      <c r="AD63" s="80"/>
      <c r="AE63" s="80"/>
      <c r="AF63" s="80"/>
      <c r="AG63" s="28"/>
      <c r="AH63" s="28"/>
      <c r="AI63" s="28"/>
      <c r="AJ63" s="28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</row>
    <row r="64" spans="1:70" x14ac:dyDescent="0.25">
      <c r="A64" s="22" t="s">
        <v>332</v>
      </c>
      <c r="B64" s="27">
        <f>B59+B65</f>
        <v>62.55302720000001</v>
      </c>
      <c r="C64" s="27">
        <f t="shared" ref="C64:M64" si="213">C59+C65</f>
        <v>62.200404810000009</v>
      </c>
      <c r="D64" s="27">
        <f t="shared" si="213"/>
        <v>91.725088170000021</v>
      </c>
      <c r="E64" s="27">
        <f t="shared" si="213"/>
        <v>148.93063567000002</v>
      </c>
      <c r="F64" s="27">
        <f t="shared" si="213"/>
        <v>169.99199999999999</v>
      </c>
      <c r="G64" s="27">
        <f t="shared" si="213"/>
        <v>173.95431773000001</v>
      </c>
      <c r="H64" s="27">
        <f t="shared" si="213"/>
        <v>183.27210163999996</v>
      </c>
      <c r="I64" s="27">
        <f t="shared" si="213"/>
        <v>367.89299999999997</v>
      </c>
      <c r="J64" s="27">
        <f t="shared" si="213"/>
        <v>363.30699999999996</v>
      </c>
      <c r="K64" s="27">
        <f t="shared" si="213"/>
        <v>579.38404269329999</v>
      </c>
      <c r="L64" s="27">
        <f t="shared" si="213"/>
        <v>814.92499999999995</v>
      </c>
      <c r="M64" s="27">
        <f t="shared" si="213"/>
        <v>1090.9989999999998</v>
      </c>
      <c r="N64" s="27">
        <f>(N59+N65)</f>
        <v>1220.0162867925726</v>
      </c>
      <c r="O64" s="27">
        <f t="shared" ref="O64:P64" si="214">O59+O65</f>
        <v>2192.7957457114762</v>
      </c>
      <c r="P64" s="27">
        <f t="shared" si="214"/>
        <v>2850.6505346461722</v>
      </c>
      <c r="Q64" s="28"/>
      <c r="R64" s="80">
        <v>0</v>
      </c>
      <c r="S64" s="80">
        <v>0</v>
      </c>
      <c r="T64" s="80">
        <v>0</v>
      </c>
      <c r="U64" s="80">
        <v>0</v>
      </c>
      <c r="V64" s="80">
        <v>0</v>
      </c>
      <c r="W64" s="27">
        <f t="shared" ref="W64:X64" si="215">W59+W65</f>
        <v>733.52798495510979</v>
      </c>
      <c r="X64" s="27">
        <f t="shared" si="215"/>
        <v>1472.4471855168331</v>
      </c>
      <c r="Y64" s="27">
        <f t="shared" ref="Y64" si="216">Y59+Y65</f>
        <v>2039.218534646172</v>
      </c>
      <c r="Z64" s="28"/>
      <c r="AA64" s="80">
        <v>0</v>
      </c>
      <c r="AB64" s="80">
        <v>0</v>
      </c>
      <c r="AC64" s="80">
        <v>0</v>
      </c>
      <c r="AD64" s="80">
        <v>0</v>
      </c>
      <c r="AE64" s="80">
        <v>0</v>
      </c>
      <c r="AF64" s="27">
        <f t="shared" ref="AF64:AG64" si="217">AF59+AF65</f>
        <v>419.99503826999995</v>
      </c>
      <c r="AG64" s="27">
        <f t="shared" si="217"/>
        <v>851.16235906817258</v>
      </c>
      <c r="AH64" s="27">
        <f t="shared" ref="AH64:AI64" si="218">AH59+AH65</f>
        <v>1159.2795346461719</v>
      </c>
      <c r="AI64" s="27">
        <f t="shared" si="218"/>
        <v>1576.0681845865283</v>
      </c>
      <c r="AJ64" s="28"/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</v>
      </c>
      <c r="AW64" s="27">
        <v>0</v>
      </c>
      <c r="AX64" s="27">
        <v>0</v>
      </c>
      <c r="AY64" s="27">
        <v>0</v>
      </c>
      <c r="AZ64" s="27">
        <v>0</v>
      </c>
      <c r="BA64" s="27">
        <v>0</v>
      </c>
      <c r="BB64" s="27">
        <v>0</v>
      </c>
      <c r="BC64" s="27">
        <v>0</v>
      </c>
      <c r="BD64" s="27">
        <v>0</v>
      </c>
      <c r="BE64" s="27">
        <f t="shared" ref="BE64:BH64" si="219">BE59+BE65</f>
        <v>245.40100000000001</v>
      </c>
      <c r="BF64" s="27">
        <f t="shared" si="219"/>
        <v>174.59403826999994</v>
      </c>
      <c r="BG64" s="27">
        <f t="shared" si="219"/>
        <v>313.53294668510978</v>
      </c>
      <c r="BH64" s="27">
        <f t="shared" si="219"/>
        <v>496.60630183746275</v>
      </c>
      <c r="BI64" s="27">
        <f t="shared" ref="BI64:BP64" si="220">BI59+BI65</f>
        <v>459.7333590681726</v>
      </c>
      <c r="BJ64" s="27">
        <f t="shared" si="220"/>
        <v>391.42900000000003</v>
      </c>
      <c r="BK64" s="27">
        <f t="shared" si="220"/>
        <v>621.28482644866051</v>
      </c>
      <c r="BL64" s="27">
        <f t="shared" si="220"/>
        <v>720.34856019464314</v>
      </c>
      <c r="BM64" s="27">
        <f t="shared" si="220"/>
        <v>545.21553464617193</v>
      </c>
      <c r="BN64" s="27">
        <f t="shared" si="220"/>
        <v>614.06400000000008</v>
      </c>
      <c r="BO64" s="27">
        <f t="shared" si="220"/>
        <v>879.93900000000008</v>
      </c>
      <c r="BP64" s="27">
        <f t="shared" si="220"/>
        <v>811.43200000000002</v>
      </c>
      <c r="BQ64" s="27">
        <f t="shared" ref="BQ64:BR64" si="221">BQ59+BQ65</f>
        <v>906.61466982915624</v>
      </c>
      <c r="BR64" s="27">
        <f t="shared" si="221"/>
        <v>669.4535147573722</v>
      </c>
    </row>
    <row r="65" spans="1:70" x14ac:dyDescent="0.25">
      <c r="A65" s="62" t="s">
        <v>333</v>
      </c>
      <c r="B65" s="82">
        <v>0</v>
      </c>
      <c r="C65" s="82">
        <v>0</v>
      </c>
      <c r="D65" s="82">
        <v>0</v>
      </c>
      <c r="E65" s="82">
        <v>0</v>
      </c>
      <c r="F65" s="82">
        <v>0</v>
      </c>
      <c r="G65" s="82">
        <v>0</v>
      </c>
      <c r="H65" s="82">
        <v>0</v>
      </c>
      <c r="I65" s="142">
        <v>0</v>
      </c>
      <c r="J65" s="142">
        <v>0</v>
      </c>
      <c r="K65" s="142">
        <v>0</v>
      </c>
      <c r="L65" s="142">
        <v>0</v>
      </c>
      <c r="M65" s="142">
        <v>0</v>
      </c>
      <c r="N65" s="159">
        <v>-10.118</v>
      </c>
      <c r="O65" s="142">
        <f>SUM(BI65:BL65)</f>
        <v>28.392000000000003</v>
      </c>
      <c r="P65" s="142">
        <f>SUM(BM65:BP65)</f>
        <v>305.82</v>
      </c>
      <c r="Q65" s="28"/>
      <c r="R65" s="144">
        <v>0</v>
      </c>
      <c r="S65" s="144">
        <v>0</v>
      </c>
      <c r="T65" s="144">
        <v>0</v>
      </c>
      <c r="U65" s="144">
        <v>0</v>
      </c>
      <c r="V65" s="144">
        <v>0</v>
      </c>
      <c r="W65" s="144">
        <f>SUM(BE65:BG65)</f>
        <v>0</v>
      </c>
      <c r="X65" s="144">
        <f>SUM(BI65:BK65)</f>
        <v>36.362000000000002</v>
      </c>
      <c r="Y65" s="144">
        <f>SUM(BM65:BO65)</f>
        <v>150.44299999999998</v>
      </c>
      <c r="Z65" s="28"/>
      <c r="AA65" s="144">
        <v>0</v>
      </c>
      <c r="AB65" s="144">
        <v>0</v>
      </c>
      <c r="AC65" s="144">
        <v>0</v>
      </c>
      <c r="AD65" s="144">
        <v>0</v>
      </c>
      <c r="AE65" s="144">
        <v>0</v>
      </c>
      <c r="AF65" s="143">
        <f>SUM(BE65:BF65)</f>
        <v>0</v>
      </c>
      <c r="AG65" s="143">
        <f>SUM(BI65:BJ65)</f>
        <v>22.227</v>
      </c>
      <c r="AH65" s="159">
        <f>SUM(BM65:BN65)</f>
        <v>-52.132000000000005</v>
      </c>
      <c r="AI65" s="159">
        <f>SUM(BQ65:BR65)</f>
        <v>238.23000000000002</v>
      </c>
      <c r="AJ65" s="28"/>
      <c r="AK65" s="82">
        <v>0</v>
      </c>
      <c r="AL65" s="82">
        <v>0</v>
      </c>
      <c r="AM65" s="82">
        <v>0</v>
      </c>
      <c r="AN65" s="82">
        <v>0</v>
      </c>
      <c r="AO65" s="82">
        <v>0</v>
      </c>
      <c r="AP65" s="82">
        <v>0</v>
      </c>
      <c r="AQ65" s="82">
        <v>0</v>
      </c>
      <c r="AR65" s="82">
        <v>0</v>
      </c>
      <c r="AS65" s="82">
        <v>0</v>
      </c>
      <c r="AT65" s="82">
        <v>0</v>
      </c>
      <c r="AU65" s="82">
        <v>0</v>
      </c>
      <c r="AV65" s="82">
        <v>0</v>
      </c>
      <c r="AW65" s="82">
        <v>0</v>
      </c>
      <c r="AX65" s="82">
        <v>0</v>
      </c>
      <c r="AY65" s="82">
        <v>0</v>
      </c>
      <c r="AZ65" s="82">
        <v>0</v>
      </c>
      <c r="BA65" s="82">
        <v>0</v>
      </c>
      <c r="BB65" s="82">
        <v>0</v>
      </c>
      <c r="BC65" s="82">
        <v>0</v>
      </c>
      <c r="BD65" s="82">
        <v>0</v>
      </c>
      <c r="BE65" s="159">
        <v>0</v>
      </c>
      <c r="BF65" s="82">
        <v>0</v>
      </c>
      <c r="BG65" s="82">
        <v>0</v>
      </c>
      <c r="BH65" s="159">
        <v>0</v>
      </c>
      <c r="BI65" s="82">
        <f>29872/1000</f>
        <v>29.872</v>
      </c>
      <c r="BJ65" s="159">
        <f>-7645/1000</f>
        <v>-7.6449999999999996</v>
      </c>
      <c r="BK65" s="82">
        <f>14135/1000</f>
        <v>14.135</v>
      </c>
      <c r="BL65" s="159">
        <f>-7970/1000</f>
        <v>-7.97</v>
      </c>
      <c r="BM65" s="159">
        <v>-90.266000000000005</v>
      </c>
      <c r="BN65" s="82">
        <v>38.134</v>
      </c>
      <c r="BO65" s="82">
        <v>202.57499999999999</v>
      </c>
      <c r="BP65" s="82">
        <v>155.37700000000001</v>
      </c>
      <c r="BQ65" s="82">
        <v>98.418000000000006</v>
      </c>
      <c r="BR65" s="82">
        <v>139.81200000000001</v>
      </c>
    </row>
    <row r="66" spans="1:70" x14ac:dyDescent="0.25">
      <c r="A66" s="62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86"/>
      <c r="AU66" s="86"/>
      <c r="AV66" s="86"/>
      <c r="AW66" s="86"/>
      <c r="AX66" s="86"/>
      <c r="AY66" s="86"/>
      <c r="AZ66" s="86"/>
      <c r="BA66" s="86"/>
      <c r="BB66" s="86"/>
      <c r="BC66" s="86"/>
      <c r="BD66" s="86"/>
      <c r="BE66" s="86"/>
      <c r="BF66" s="86"/>
      <c r="BG66" s="18"/>
      <c r="BH66" s="18"/>
      <c r="BI66" s="18"/>
      <c r="BJ66" s="18"/>
      <c r="BK66" s="18"/>
      <c r="BL66" s="18"/>
      <c r="BM66" s="18"/>
      <c r="BN66" s="18"/>
    </row>
    <row r="67" spans="1:70" x14ac:dyDescent="0.25">
      <c r="A67" s="88" t="s">
        <v>193</v>
      </c>
      <c r="B67" s="79">
        <f t="shared" ref="B67:L67" si="222">B59/B20</f>
        <v>0.15969055790704445</v>
      </c>
      <c r="C67" s="79">
        <f t="shared" si="222"/>
        <v>0.12931987918441687</v>
      </c>
      <c r="D67" s="79">
        <f t="shared" si="222"/>
        <v>0.1017255206545029</v>
      </c>
      <c r="E67" s="79">
        <f t="shared" si="222"/>
        <v>0.16235725602909404</v>
      </c>
      <c r="F67" s="79">
        <f t="shared" si="222"/>
        <v>0.15263194754960321</v>
      </c>
      <c r="G67" s="79">
        <f t="shared" si="222"/>
        <v>0.15257785507787902</v>
      </c>
      <c r="H67" s="79">
        <f t="shared" si="222"/>
        <v>0.13820411872163973</v>
      </c>
      <c r="I67" s="79">
        <f t="shared" si="222"/>
        <v>0.19145428501707343</v>
      </c>
      <c r="J67" s="79">
        <f t="shared" si="222"/>
        <v>0.16222169335109268</v>
      </c>
      <c r="K67" s="79">
        <f t="shared" si="222"/>
        <v>0.18627267683155585</v>
      </c>
      <c r="L67" s="79">
        <f t="shared" si="222"/>
        <v>0.15262719646300835</v>
      </c>
      <c r="M67" s="79">
        <f t="shared" ref="M67:N67" si="223">M59/M20</f>
        <v>0.15844096075194897</v>
      </c>
      <c r="N67" s="79">
        <f t="shared" si="223"/>
        <v>0.136697005574279</v>
      </c>
      <c r="O67" s="79">
        <f>O59/O20</f>
        <v>0.16875427558693606</v>
      </c>
      <c r="P67" s="79">
        <f>P59/P20</f>
        <v>0.15494872983895391</v>
      </c>
      <c r="Q67" s="86"/>
      <c r="R67" s="79">
        <f t="shared" ref="R67:W67" si="224">R59/R20</f>
        <v>0.17547396068564408</v>
      </c>
      <c r="S67" s="79">
        <f t="shared" si="224"/>
        <v>0.13937442506150194</v>
      </c>
      <c r="T67" s="79">
        <f t="shared" si="224"/>
        <v>0.17387888940814974</v>
      </c>
      <c r="U67" s="79">
        <f t="shared" si="224"/>
        <v>0.14198215106211923</v>
      </c>
      <c r="V67" s="79">
        <f t="shared" si="224"/>
        <v>0.1432537598488382</v>
      </c>
      <c r="W67" s="79">
        <f t="shared" si="224"/>
        <v>0.1228814688033472</v>
      </c>
      <c r="X67" s="79">
        <f t="shared" ref="X67:Y67" si="225">X59/X20</f>
        <v>0.16005851095985399</v>
      </c>
      <c r="Y67" s="79">
        <f t="shared" si="225"/>
        <v>0.15665562159883209</v>
      </c>
      <c r="Z67" s="86"/>
      <c r="AA67" s="79">
        <f t="shared" ref="AA67:AE67" si="226">AA59/AA20</f>
        <v>0.19242049554827464</v>
      </c>
      <c r="AB67" s="79">
        <f t="shared" si="226"/>
        <v>0.11157155722617043</v>
      </c>
      <c r="AC67" s="79">
        <f t="shared" si="226"/>
        <v>0.14702912878595595</v>
      </c>
      <c r="AD67" s="79">
        <f t="shared" si="226"/>
        <v>0.14423242969777472</v>
      </c>
      <c r="AE67" s="79">
        <f t="shared" si="226"/>
        <v>0.13977608429015043</v>
      </c>
      <c r="AF67" s="79">
        <f>AF59/AF20</f>
        <v>0.11780886711665391</v>
      </c>
      <c r="AG67" s="79">
        <f>AG59/AG20</f>
        <v>0.15138460181163377</v>
      </c>
      <c r="AH67" s="79">
        <f>AH59/AH20</f>
        <v>0.17153980410381309</v>
      </c>
      <c r="AI67" s="79">
        <f>AI59/AI20</f>
        <v>0.15019490108574113</v>
      </c>
      <c r="AJ67" s="86"/>
      <c r="AK67" s="79">
        <f t="shared" ref="AK67:BA67" si="227">AK59/AK20</f>
        <v>0.17502340757656007</v>
      </c>
      <c r="AL67" s="79">
        <f t="shared" si="227"/>
        <v>0.20482821699706549</v>
      </c>
      <c r="AM67" s="79">
        <f t="shared" si="227"/>
        <v>0.14978165996517195</v>
      </c>
      <c r="AN67" s="79">
        <f t="shared" si="227"/>
        <v>0.22773885227815444</v>
      </c>
      <c r="AO67" s="79">
        <f t="shared" si="227"/>
        <v>0.1239585396671784</v>
      </c>
      <c r="AP67" s="79">
        <f t="shared" si="227"/>
        <v>0.10071594708419646</v>
      </c>
      <c r="AQ67" s="79">
        <f t="shared" si="227"/>
        <v>0.18446630935653396</v>
      </c>
      <c r="AR67" s="79">
        <f t="shared" si="227"/>
        <v>0.21390884239918004</v>
      </c>
      <c r="AS67" s="79">
        <f t="shared" si="227"/>
        <v>0.14922236757009383</v>
      </c>
      <c r="AT67" s="79">
        <f t="shared" si="227"/>
        <v>0.1455070771229226</v>
      </c>
      <c r="AU67" s="79">
        <f t="shared" si="227"/>
        <v>0.21359253255647884</v>
      </c>
      <c r="AV67" s="79">
        <f t="shared" si="227"/>
        <v>0.21212098895525075</v>
      </c>
      <c r="AW67" s="79">
        <f t="shared" si="227"/>
        <v>0.15845870061733611</v>
      </c>
      <c r="AX67" s="79">
        <f t="shared" si="227"/>
        <v>0.13515322968690371</v>
      </c>
      <c r="AY67" s="79">
        <f t="shared" si="227"/>
        <v>0.13941296699420946</v>
      </c>
      <c r="AZ67" s="79">
        <f t="shared" si="227"/>
        <v>0.17674247704647325</v>
      </c>
      <c r="BA67" s="79">
        <f t="shared" si="227"/>
        <v>0.15688541392594454</v>
      </c>
      <c r="BB67" s="79">
        <f t="shared" ref="BB67:BC67" si="228">BB59/BB20</f>
        <v>0.12522713031858262</v>
      </c>
      <c r="BC67" s="79">
        <f t="shared" si="228"/>
        <v>0.1365150655057501</v>
      </c>
      <c r="BD67" s="79">
        <f t="shared" ref="BD67" si="229">BD59/BD20</f>
        <v>0.20233965207576182</v>
      </c>
      <c r="BE67" s="79">
        <f t="shared" ref="BE67:BJ67" si="230">BE59/BE20</f>
        <v>0.13597913443593826</v>
      </c>
      <c r="BF67" s="79">
        <f t="shared" si="230"/>
        <v>9.9180952555178559E-2</v>
      </c>
      <c r="BG67" s="79">
        <f t="shared" si="230"/>
        <v>0.13040290956243911</v>
      </c>
      <c r="BH67" s="79">
        <f t="shared" si="230"/>
        <v>0.16391863812610899</v>
      </c>
      <c r="BI67" s="79">
        <f t="shared" si="230"/>
        <v>0.16044258305011025</v>
      </c>
      <c r="BJ67" s="79">
        <f t="shared" si="230"/>
        <v>0.14270639152445458</v>
      </c>
      <c r="BK67" s="79">
        <f t="shared" ref="BK67:BL67" si="231">BK59/BK20</f>
        <v>0.17364204746712172</v>
      </c>
      <c r="BL67" s="79">
        <f t="shared" si="231"/>
        <v>0.18900085165042305</v>
      </c>
      <c r="BM67" s="79">
        <f t="shared" ref="BM67:BN67" si="232">BM59/BM20</f>
        <v>0.18161243497092294</v>
      </c>
      <c r="BN67" s="79">
        <f t="shared" si="232"/>
        <v>0.16164745481330176</v>
      </c>
      <c r="BO67" s="79">
        <f t="shared" ref="BO67:BP67" si="233">BO59/BO20</f>
        <v>0.13561169349647909</v>
      </c>
      <c r="BP67" s="79">
        <f t="shared" si="233"/>
        <v>0.15023598353954698</v>
      </c>
      <c r="BQ67" s="79">
        <f t="shared" ref="BQ67:BR67" si="234">BQ59/BQ20</f>
        <v>0.19210996513383385</v>
      </c>
      <c r="BR67" s="79">
        <f t="shared" si="234"/>
        <v>0.11268010944383228</v>
      </c>
    </row>
    <row r="68" spans="1:70" x14ac:dyDescent="0.25">
      <c r="A68" s="62" t="s">
        <v>160</v>
      </c>
      <c r="B68" s="79">
        <f t="shared" ref="B68:L68" si="235">B60/B23</f>
        <v>0.21787413499108618</v>
      </c>
      <c r="C68" s="79">
        <f t="shared" si="235"/>
        <v>0.16473625693516794</v>
      </c>
      <c r="D68" s="79">
        <f t="shared" si="235"/>
        <v>0.1132045327793295</v>
      </c>
      <c r="E68" s="79">
        <f t="shared" si="235"/>
        <v>0.26235047232165248</v>
      </c>
      <c r="F68" s="79">
        <f t="shared" si="235"/>
        <v>0.22003269185222776</v>
      </c>
      <c r="G68" s="79">
        <f t="shared" si="235"/>
        <v>0.24385853242007619</v>
      </c>
      <c r="H68" s="79">
        <f t="shared" si="235"/>
        <v>0.23766686875310425</v>
      </c>
      <c r="I68" s="79">
        <f t="shared" si="235"/>
        <v>0.27908892995462492</v>
      </c>
      <c r="J68" s="79">
        <f t="shared" si="235"/>
        <v>0.26691123031666381</v>
      </c>
      <c r="K68" s="79">
        <f t="shared" si="235"/>
        <v>0.20183557599201127</v>
      </c>
      <c r="L68" s="79">
        <f t="shared" si="235"/>
        <v>0.23905622266789323</v>
      </c>
      <c r="M68" s="79">
        <f t="shared" ref="M68:N68" si="236">M60/M23</f>
        <v>0.23691477113840556</v>
      </c>
      <c r="N68" s="79">
        <f t="shared" si="236"/>
        <v>0.17570074360333632</v>
      </c>
      <c r="O68" s="79">
        <f>O60/O23</f>
        <v>0.18028135763443948</v>
      </c>
      <c r="P68" s="79">
        <f>P60/P23</f>
        <v>0.20150444877615575</v>
      </c>
      <c r="Q68" s="86"/>
      <c r="R68" s="79">
        <f t="shared" ref="R68:W68" si="237">R60/R23</f>
        <v>0.20023645112464891</v>
      </c>
      <c r="S68" s="79">
        <f t="shared" si="237"/>
        <v>0.22540718763169407</v>
      </c>
      <c r="T68" s="79">
        <f t="shared" si="237"/>
        <v>0.16886798928468311</v>
      </c>
      <c r="U68" s="79">
        <f t="shared" si="237"/>
        <v>0.20237649606505975</v>
      </c>
      <c r="V68" s="79">
        <f t="shared" si="237"/>
        <v>0.20911261797746089</v>
      </c>
      <c r="W68" s="79">
        <f t="shared" si="237"/>
        <v>0.16930571939051028</v>
      </c>
      <c r="X68" s="79">
        <f t="shared" ref="X68:Y68" si="238">X60/X23</f>
        <v>0.16759680531590004</v>
      </c>
      <c r="Y68" s="79">
        <f t="shared" si="238"/>
        <v>0.18237062459958839</v>
      </c>
      <c r="Z68" s="86"/>
      <c r="AA68" s="79">
        <f t="shared" ref="AA68:AE68" si="239">AA60/AA23</f>
        <v>0.19721722238769226</v>
      </c>
      <c r="AB68" s="79">
        <f t="shared" si="239"/>
        <v>0.17573654655496129</v>
      </c>
      <c r="AC68" s="79">
        <f t="shared" si="239"/>
        <v>0.15428713510761194</v>
      </c>
      <c r="AD68" s="79">
        <f t="shared" si="239"/>
        <v>0.18906191078281312</v>
      </c>
      <c r="AE68" s="79">
        <f t="shared" si="239"/>
        <v>0.21431572441945881</v>
      </c>
      <c r="AF68" s="79">
        <f>AF60/AF23</f>
        <v>0.17160251063644891</v>
      </c>
      <c r="AG68" s="79">
        <f>AG60/AG23</f>
        <v>0.18294886863618251</v>
      </c>
      <c r="AH68" s="79">
        <f>AH60/AH23</f>
        <v>0.18159833035814218</v>
      </c>
      <c r="AI68" s="79">
        <f>AI60/AI23</f>
        <v>0.21653826116418451</v>
      </c>
      <c r="AJ68" s="86"/>
      <c r="AK68" s="79">
        <f t="shared" ref="AK68:BA68" si="240">AK60/AK23</f>
        <v>0.18522361744758686</v>
      </c>
      <c r="AL68" s="79">
        <f t="shared" si="240"/>
        <v>0.25149961085758965</v>
      </c>
      <c r="AM68" s="79">
        <f t="shared" si="240"/>
        <v>0.20389578061928032</v>
      </c>
      <c r="AN68" s="79">
        <f t="shared" si="240"/>
        <v>0.37264598160003515</v>
      </c>
      <c r="AO68" s="79">
        <f t="shared" si="240"/>
        <v>0.16665422469115815</v>
      </c>
      <c r="AP68" s="79">
        <f t="shared" si="240"/>
        <v>0.20804604055142284</v>
      </c>
      <c r="AQ68" s="79">
        <f t="shared" si="240"/>
        <v>0.28600822047401092</v>
      </c>
      <c r="AR68" s="79">
        <f t="shared" si="240"/>
        <v>0.33312649231733116</v>
      </c>
      <c r="AS68" s="79">
        <f t="shared" si="240"/>
        <v>0.15542668261380427</v>
      </c>
      <c r="AT68" s="79">
        <f t="shared" si="240"/>
        <v>0.1505530304255136</v>
      </c>
      <c r="AU68" s="79">
        <f t="shared" si="240"/>
        <v>0.18162816939931772</v>
      </c>
      <c r="AV68" s="79">
        <f t="shared" si="240"/>
        <v>0.25453830736065114</v>
      </c>
      <c r="AW68" s="79">
        <f t="shared" si="240"/>
        <v>0.16613030500566092</v>
      </c>
      <c r="AX68" s="79">
        <f t="shared" si="240"/>
        <v>0.23100916279653574</v>
      </c>
      <c r="AY68" s="79">
        <f t="shared" si="240"/>
        <v>0.21589161512290572</v>
      </c>
      <c r="AZ68" s="79">
        <f t="shared" si="240"/>
        <v>0.29041196360803778</v>
      </c>
      <c r="BA68" s="79">
        <f t="shared" si="240"/>
        <v>0.20953476551004577</v>
      </c>
      <c r="BB68" s="79">
        <f t="shared" ref="BB68:BC68" si="241">BB60/BB23</f>
        <v>0.21922451490979408</v>
      </c>
      <c r="BC68" s="79">
        <f t="shared" si="241"/>
        <v>0.20410033723400228</v>
      </c>
      <c r="BD68" s="79">
        <f t="shared" ref="BD68" si="242">BD60/BD23</f>
        <v>0.27744195018679468</v>
      </c>
      <c r="BE68" s="79">
        <f t="shared" ref="BE68:BJ68" si="243">BE60/BE23</f>
        <v>0.17759852635513851</v>
      </c>
      <c r="BF68" s="79">
        <f t="shared" si="243"/>
        <v>0.16378765620780839</v>
      </c>
      <c r="BG68" s="79">
        <f t="shared" si="243"/>
        <v>0.16685038811479658</v>
      </c>
      <c r="BH68" s="79">
        <f t="shared" si="243"/>
        <v>0.1851804202343354</v>
      </c>
      <c r="BI68" s="79">
        <f t="shared" si="243"/>
        <v>0.19436082128341245</v>
      </c>
      <c r="BJ68" s="79">
        <f t="shared" si="243"/>
        <v>0.1539420841259776</v>
      </c>
      <c r="BK68" s="79">
        <f t="shared" ref="BK68:BL68" si="244">BK60/BK23</f>
        <v>0.15061661862126713</v>
      </c>
      <c r="BL68" s="79">
        <f t="shared" si="244"/>
        <v>0.19680965426745195</v>
      </c>
      <c r="BM68" s="79">
        <f t="shared" ref="BM68:BN68" si="245">BM60/BM23</f>
        <v>0.1810731100293719</v>
      </c>
      <c r="BN68" s="79">
        <f t="shared" si="245"/>
        <v>0.18243976932109365</v>
      </c>
      <c r="BO68" s="79">
        <f t="shared" ref="BO68:BP68" si="246">BO60/BO23</f>
        <v>0.1830984219884427</v>
      </c>
      <c r="BP68" s="79">
        <f t="shared" si="246"/>
        <v>0.23208911602626781</v>
      </c>
      <c r="BQ68" s="79">
        <f t="shared" ref="BQ68:BR68" si="247">BQ60/BQ23</f>
        <v>0.22769098060279533</v>
      </c>
      <c r="BR68" s="79">
        <f t="shared" si="247"/>
        <v>0.19762105637796146</v>
      </c>
    </row>
    <row r="69" spans="1:70" x14ac:dyDescent="0.25">
      <c r="A69" s="62" t="s">
        <v>163</v>
      </c>
      <c r="B69" s="79">
        <f t="shared" ref="B69:L69" si="248">B61/B28</f>
        <v>0.1367444230403837</v>
      </c>
      <c r="C69" s="79">
        <f t="shared" si="248"/>
        <v>0.11231366844047518</v>
      </c>
      <c r="D69" s="79">
        <f t="shared" si="248"/>
        <v>5.3908842537255572E-2</v>
      </c>
      <c r="E69" s="79">
        <f t="shared" si="248"/>
        <v>0.12047873027854535</v>
      </c>
      <c r="F69" s="79">
        <f t="shared" si="248"/>
        <v>0.10337000616148337</v>
      </c>
      <c r="G69" s="79">
        <f t="shared" si="248"/>
        <v>6.1805419576096539E-2</v>
      </c>
      <c r="H69" s="79">
        <f t="shared" si="248"/>
        <v>9.295648859520618E-2</v>
      </c>
      <c r="I69" s="79">
        <f t="shared" si="248"/>
        <v>9.3687109655886655E-2</v>
      </c>
      <c r="J69" s="79">
        <f t="shared" si="248"/>
        <v>0.11992644681361174</v>
      </c>
      <c r="K69" s="79">
        <f t="shared" si="248"/>
        <v>0.10609548253027414</v>
      </c>
      <c r="L69" s="79">
        <f t="shared" si="248"/>
        <v>7.9064870253827788E-2</v>
      </c>
      <c r="M69" s="79">
        <f t="shared" ref="M69:N69" si="249">M61/M28</f>
        <v>9.9065316568376541E-2</v>
      </c>
      <c r="N69" s="79">
        <f t="shared" si="249"/>
        <v>8.9409732573712625E-2</v>
      </c>
      <c r="O69" s="79">
        <f>O61/O28</f>
        <v>0.10542271671377514</v>
      </c>
      <c r="P69" s="79">
        <f>P61/P28</f>
        <v>0.1047377408958388</v>
      </c>
      <c r="Q69" s="86"/>
      <c r="R69" s="79">
        <f t="shared" ref="R69:W69" si="250">R61/R28</f>
        <v>0.11057138374490083</v>
      </c>
      <c r="S69" s="79">
        <f t="shared" si="250"/>
        <v>0.14992312539382485</v>
      </c>
      <c r="T69" s="79">
        <f t="shared" si="250"/>
        <v>9.1782774705335968E-2</v>
      </c>
      <c r="U69" s="79">
        <f t="shared" si="250"/>
        <v>7.3756368551609386E-2</v>
      </c>
      <c r="V69" s="79">
        <f t="shared" si="250"/>
        <v>7.6004565124352094E-2</v>
      </c>
      <c r="W69" s="79">
        <f t="shared" si="250"/>
        <v>8.9993953778111757E-2</v>
      </c>
      <c r="X69" s="79">
        <f t="shared" ref="X69:Y69" si="251">X61/X28</f>
        <v>9.6011940639228202E-2</v>
      </c>
      <c r="Y69" s="79">
        <f t="shared" si="251"/>
        <v>0.10401233377482688</v>
      </c>
      <c r="Z69" s="86"/>
      <c r="AA69" s="79">
        <f t="shared" ref="AA69:AE69" si="252">AA61/AA28</f>
        <v>0.14628455813375935</v>
      </c>
      <c r="AB69" s="79">
        <f t="shared" si="252"/>
        <v>0.12430773212590322</v>
      </c>
      <c r="AC69" s="79">
        <f t="shared" si="252"/>
        <v>9.3376644401125725E-2</v>
      </c>
      <c r="AD69" s="79">
        <f t="shared" si="252"/>
        <v>8.1529302208782795E-2</v>
      </c>
      <c r="AE69" s="79">
        <f t="shared" si="252"/>
        <v>8.663340040241449E-2</v>
      </c>
      <c r="AF69" s="79">
        <f>AF61/AF28</f>
        <v>8.6335180258072519E-2</v>
      </c>
      <c r="AG69" s="79">
        <f>AG61/AG28</f>
        <v>7.7072381415996691E-2</v>
      </c>
      <c r="AH69" s="79">
        <f>AH61/AH28</f>
        <v>9.2658796523798534E-2</v>
      </c>
      <c r="AI69" s="79">
        <f>AI61/AI28</f>
        <v>0.12229776368592431</v>
      </c>
      <c r="AJ69" s="86"/>
      <c r="AK69" s="79">
        <f t="shared" ref="AK69:BA69" si="253">AK61/AK28</f>
        <v>0.15401647523721723</v>
      </c>
      <c r="AL69" s="79">
        <f t="shared" si="253"/>
        <v>0.14381608077681868</v>
      </c>
      <c r="AM69" s="79">
        <f t="shared" si="253"/>
        <v>4.5740889921736042E-2</v>
      </c>
      <c r="AN69" s="79">
        <f t="shared" si="253"/>
        <v>-5.7893049472385848E-2</v>
      </c>
      <c r="AO69" s="79">
        <f t="shared" si="253"/>
        <v>0.13060027723981174</v>
      </c>
      <c r="AP69" s="79">
        <f t="shared" si="253"/>
        <v>0.12059346512778787</v>
      </c>
      <c r="AQ69" s="79">
        <f t="shared" si="253"/>
        <v>0.23120551889182911</v>
      </c>
      <c r="AR69" s="79">
        <f t="shared" si="253"/>
        <v>-8.5666902758823216E-2</v>
      </c>
      <c r="AS69" s="79">
        <f t="shared" si="253"/>
        <v>0.1778575210102204</v>
      </c>
      <c r="AT69" s="79">
        <f t="shared" si="253"/>
        <v>7.286021683896661E-2</v>
      </c>
      <c r="AU69" s="79">
        <f t="shared" si="253"/>
        <v>8.4869917045671844E-2</v>
      </c>
      <c r="AV69" s="79">
        <f t="shared" si="253"/>
        <v>0.22606132034037962</v>
      </c>
      <c r="AW69" s="79">
        <f t="shared" si="253"/>
        <v>9.1977721020401873E-2</v>
      </c>
      <c r="AX69" s="79">
        <f t="shared" si="253"/>
        <v>7.885134104854695E-2</v>
      </c>
      <c r="AY69" s="79">
        <f t="shared" si="253"/>
        <v>6.7558480434771723E-2</v>
      </c>
      <c r="AZ69" s="79">
        <f t="shared" si="253"/>
        <v>9.6127449810221768E-2</v>
      </c>
      <c r="BA69" s="79">
        <f t="shared" si="253"/>
        <v>0.111501840416147</v>
      </c>
      <c r="BB69" s="79">
        <f t="shared" ref="BB69:BC69" si="254">BB61/BB28</f>
        <v>5.8686585532613161E-2</v>
      </c>
      <c r="BC69" s="79">
        <f t="shared" si="254"/>
        <v>6.0655509065550901E-2</v>
      </c>
      <c r="BD69" s="79">
        <f t="shared" ref="BD69" si="255">BD61/BD28</f>
        <v>0.18081591368846928</v>
      </c>
      <c r="BE69" s="79">
        <f t="shared" ref="BE69:BJ69" si="256">BE61/BE28</f>
        <v>0.11221961398017735</v>
      </c>
      <c r="BF69" s="79">
        <f t="shared" si="256"/>
        <v>6.5507876520017244E-2</v>
      </c>
      <c r="BG69" s="79">
        <f t="shared" si="256"/>
        <v>9.9653757262288131E-2</v>
      </c>
      <c r="BH69" s="79">
        <f t="shared" si="256"/>
        <v>8.6990173557121173E-2</v>
      </c>
      <c r="BI69" s="79">
        <f t="shared" si="256"/>
        <v>0.112294863547799</v>
      </c>
      <c r="BJ69" s="79">
        <f t="shared" si="256"/>
        <v>5.511944384707354E-2</v>
      </c>
      <c r="BK69" s="79">
        <f t="shared" ref="BK69:BL69" si="257">BK61/BK28</f>
        <v>0.12717399529482987</v>
      </c>
      <c r="BL69" s="79">
        <f t="shared" si="257"/>
        <v>0.12950679028122497</v>
      </c>
      <c r="BM69" s="79">
        <f t="shared" ref="BM69:BN69" si="258">BM61/BM28</f>
        <v>0.11887195704881616</v>
      </c>
      <c r="BN69" s="79">
        <f t="shared" si="258"/>
        <v>7.0725191910054525E-2</v>
      </c>
      <c r="BO69" s="79">
        <f t="shared" ref="BO69:BP69" si="259">BO61/BO28</f>
        <v>0.11927980108234607</v>
      </c>
      <c r="BP69" s="79">
        <f t="shared" si="259"/>
        <v>0.10710645464330032</v>
      </c>
      <c r="BQ69" s="79">
        <f t="shared" ref="BQ69:BR69" si="260">BQ61/BQ28</f>
        <v>0.17746846125900717</v>
      </c>
      <c r="BR69" s="79">
        <f t="shared" si="260"/>
        <v>8.5576136203311892E-2</v>
      </c>
    </row>
    <row r="70" spans="1:70" x14ac:dyDescent="0.25">
      <c r="A70" s="62" t="s">
        <v>167</v>
      </c>
      <c r="B70" s="18"/>
      <c r="C70" s="18"/>
      <c r="D70" s="18"/>
      <c r="E70" s="79">
        <f t="shared" ref="E70:L70" si="261">E62/E33</f>
        <v>0.11424872491958722</v>
      </c>
      <c r="F70" s="79">
        <f t="shared" si="261"/>
        <v>0.14373661954509187</v>
      </c>
      <c r="G70" s="79">
        <f t="shared" si="261"/>
        <v>0.14346194965002942</v>
      </c>
      <c r="H70" s="79">
        <f t="shared" si="261"/>
        <v>9.2477923139221235E-2</v>
      </c>
      <c r="I70" s="79">
        <f t="shared" si="261"/>
        <v>0.17949046025027432</v>
      </c>
      <c r="J70" s="79">
        <f t="shared" si="261"/>
        <v>0.10914593919020026</v>
      </c>
      <c r="K70" s="79">
        <f t="shared" si="261"/>
        <v>0.2007438244186954</v>
      </c>
      <c r="L70" s="79">
        <f t="shared" si="261"/>
        <v>0.14063324703655181</v>
      </c>
      <c r="M70" s="79">
        <f t="shared" ref="M70:N70" si="262">M62/M33</f>
        <v>0.11883223778138229</v>
      </c>
      <c r="N70" s="79">
        <f t="shared" si="262"/>
        <v>0.13335152714493539</v>
      </c>
      <c r="O70" s="79">
        <f>O62/O33</f>
        <v>0.19450653126207462</v>
      </c>
      <c r="P70" s="79">
        <f>P62/P33</f>
        <v>0.16833358600984072</v>
      </c>
      <c r="Q70" s="86"/>
      <c r="R70" s="79">
        <f t="shared" ref="R70:W70" si="263">R62/R33</f>
        <v>0.20461456207345755</v>
      </c>
      <c r="S70" s="79">
        <f t="shared" si="263"/>
        <v>7.9864040894432331E-2</v>
      </c>
      <c r="T70" s="79">
        <f t="shared" si="263"/>
        <v>0.20876948732673478</v>
      </c>
      <c r="U70" s="79">
        <f t="shared" si="263"/>
        <v>0.15320660077743825</v>
      </c>
      <c r="V70" s="79">
        <f t="shared" si="263"/>
        <v>0.11972170200028072</v>
      </c>
      <c r="W70" s="79">
        <f t="shared" si="263"/>
        <v>0.11504595688673667</v>
      </c>
      <c r="X70" s="79">
        <f t="shared" ref="X70:Y70" si="264">X62/X33</f>
        <v>0.18746496778399635</v>
      </c>
      <c r="Y70" s="79">
        <f t="shared" si="264"/>
        <v>0.1830421767269933</v>
      </c>
      <c r="Z70" s="86"/>
      <c r="AA70" s="79">
        <f t="shared" ref="AA70:AE70" si="265">AA62/AA33</f>
        <v>0.22243206551490069</v>
      </c>
      <c r="AB70" s="79">
        <f t="shared" si="265"/>
        <v>6.4582821287608255E-2</v>
      </c>
      <c r="AC70" s="79">
        <f t="shared" si="265"/>
        <v>0.17372312401046461</v>
      </c>
      <c r="AD70" s="79">
        <f t="shared" si="265"/>
        <v>0.15355772301138262</v>
      </c>
      <c r="AE70" s="79">
        <f t="shared" si="265"/>
        <v>0.12420061061839506</v>
      </c>
      <c r="AF70" s="79">
        <f>AF62/AF33</f>
        <v>0.11223828719075377</v>
      </c>
      <c r="AG70" s="79">
        <f>AG62/AG33</f>
        <v>0.17710329464537908</v>
      </c>
      <c r="AH70" s="79">
        <f>AH62/AH33</f>
        <v>0.2172089107991472</v>
      </c>
      <c r="AI70" s="79">
        <f>AI62/AI33</f>
        <v>0.15406579170146004</v>
      </c>
      <c r="AJ70" s="86"/>
      <c r="AK70" s="79">
        <f t="shared" ref="AK70:BA70" si="266">AK62/AK33</f>
        <v>0.17328034834125142</v>
      </c>
      <c r="AL70" s="79">
        <f t="shared" si="266"/>
        <v>0.24754854318741082</v>
      </c>
      <c r="AM70" s="79">
        <f t="shared" si="266"/>
        <v>0.17735227972309123</v>
      </c>
      <c r="AN70" s="79">
        <f t="shared" si="266"/>
        <v>0.12186547303120382</v>
      </c>
      <c r="AO70" s="79">
        <f t="shared" si="266"/>
        <v>6.3262836160741742E-2</v>
      </c>
      <c r="AP70" s="79">
        <f t="shared" si="266"/>
        <v>6.5301110677010665E-2</v>
      </c>
      <c r="AQ70" s="79">
        <f t="shared" si="266"/>
        <v>0.10119722408173012</v>
      </c>
      <c r="AR70" s="79">
        <f t="shared" si="266"/>
        <v>0.16868787219586281</v>
      </c>
      <c r="AS70" s="79">
        <f t="shared" si="266"/>
        <v>0.13593170509669181</v>
      </c>
      <c r="AT70" s="79">
        <f t="shared" si="266"/>
        <v>0.19697163386834649</v>
      </c>
      <c r="AU70" s="79">
        <f t="shared" si="266"/>
        <v>0.25679419327490427</v>
      </c>
      <c r="AV70" s="79">
        <f t="shared" si="266"/>
        <v>0.18605819536890394</v>
      </c>
      <c r="AW70" s="79">
        <f t="shared" si="266"/>
        <v>0.16962125833526157</v>
      </c>
      <c r="AX70" s="79">
        <f t="shared" si="266"/>
        <v>0.14438021470226814</v>
      </c>
      <c r="AY70" s="79">
        <f t="shared" si="266"/>
        <v>0.15267132182224419</v>
      </c>
      <c r="AZ70" s="79">
        <f t="shared" si="266"/>
        <v>0.10767608042299859</v>
      </c>
      <c r="BA70" s="79">
        <f t="shared" si="266"/>
        <v>0.14854349368774256</v>
      </c>
      <c r="BB70" s="79">
        <f t="shared" ref="BB70:BC70" si="267">BB62/BB33</f>
        <v>0.10767581367902869</v>
      </c>
      <c r="BC70" s="79">
        <f t="shared" si="267"/>
        <v>0.11143390908197041</v>
      </c>
      <c r="BD70" s="79">
        <f t="shared" ref="BD70:BE70" si="268">BD62/BD33</f>
        <v>0.11649711715519062</v>
      </c>
      <c r="BE70" s="79">
        <f t="shared" si="268"/>
        <v>0.12759467301540064</v>
      </c>
      <c r="BF70" s="79">
        <f t="shared" ref="BF70:BG70" si="269">BF62/BF33</f>
        <v>9.592743641453938E-2</v>
      </c>
      <c r="BG70" s="79">
        <f t="shared" si="269"/>
        <v>0.11888286863108868</v>
      </c>
      <c r="BH70" s="79">
        <f t="shared" ref="BH70:BI70" si="270">BH62/BH33</f>
        <v>0.16671193313783431</v>
      </c>
      <c r="BI70" s="79">
        <f t="shared" si="270"/>
        <v>0.16474764588157675</v>
      </c>
      <c r="BJ70" s="79">
        <f t="shared" ref="BJ70:BK70" si="271">BJ62/BJ33</f>
        <v>0.18838979156290528</v>
      </c>
      <c r="BK70" s="79">
        <f t="shared" si="271"/>
        <v>0.20524659120652267</v>
      </c>
      <c r="BL70" s="79">
        <f t="shared" ref="BL70" si="272">BL62/BL33</f>
        <v>0.21519046167856926</v>
      </c>
      <c r="BM70" s="79">
        <f t="shared" ref="BM70:BN70" si="273">BM62/BM33</f>
        <v>0.21778539148104994</v>
      </c>
      <c r="BN70" s="79">
        <f t="shared" si="273"/>
        <v>0.21666092549279733</v>
      </c>
      <c r="BO70" s="79">
        <f t="shared" ref="BO70:BP70" si="274">BO62/BO33</f>
        <v>0.12502011751804004</v>
      </c>
      <c r="BP70" s="79">
        <f t="shared" si="274"/>
        <v>0.12042659568413357</v>
      </c>
      <c r="BQ70" s="79">
        <f t="shared" ref="BQ70:BR70" si="275">BQ62/BQ33</f>
        <v>0.18796017770746948</v>
      </c>
      <c r="BR70" s="79">
        <f t="shared" si="275"/>
        <v>0.1217912061226423</v>
      </c>
    </row>
    <row r="71" spans="1:70" x14ac:dyDescent="0.25">
      <c r="A71" s="62"/>
      <c r="B71" s="18"/>
      <c r="C71" s="18"/>
      <c r="D71" s="18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86"/>
      <c r="R71" s="79"/>
      <c r="S71" s="79"/>
      <c r="T71" s="79"/>
      <c r="U71" s="79"/>
      <c r="V71" s="79"/>
      <c r="W71" s="79"/>
      <c r="X71" s="79"/>
      <c r="Y71" s="79"/>
      <c r="Z71" s="86"/>
      <c r="AA71" s="79"/>
      <c r="AB71" s="79"/>
      <c r="AC71" s="79"/>
      <c r="AD71" s="79"/>
      <c r="AE71" s="79"/>
      <c r="AF71" s="79"/>
      <c r="AG71" s="79"/>
      <c r="AH71" s="79"/>
      <c r="AI71" s="79"/>
      <c r="AJ71" s="86"/>
      <c r="AK71" s="79"/>
      <c r="AL71" s="79"/>
      <c r="AM71" s="79"/>
      <c r="AN71" s="79"/>
      <c r="AO71" s="79"/>
      <c r="AP71" s="79"/>
      <c r="AQ71" s="79"/>
      <c r="AR71" s="79"/>
      <c r="AS71" s="79"/>
      <c r="AT71" s="79"/>
      <c r="AU71" s="79"/>
      <c r="AV71" s="79"/>
      <c r="AW71" s="79"/>
      <c r="AX71" s="79"/>
      <c r="AY71" s="79"/>
      <c r="AZ71" s="79"/>
      <c r="BA71" s="79"/>
      <c r="BB71" s="79"/>
      <c r="BC71" s="79"/>
      <c r="BD71" s="79"/>
      <c r="BE71" s="79"/>
      <c r="BF71" s="79"/>
      <c r="BG71" s="79"/>
      <c r="BH71" s="79"/>
      <c r="BI71" s="79"/>
      <c r="BJ71" s="79"/>
      <c r="BK71" s="79"/>
      <c r="BL71" s="79"/>
      <c r="BM71" s="79"/>
      <c r="BN71" s="79"/>
      <c r="BO71" s="79"/>
      <c r="BP71" s="79"/>
      <c r="BQ71" s="79"/>
    </row>
    <row r="72" spans="1:70" x14ac:dyDescent="0.25">
      <c r="A72" s="88" t="s">
        <v>334</v>
      </c>
      <c r="B72" s="79">
        <f t="shared" ref="B72:BO72" si="276">B64/B20</f>
        <v>0.15969055790704445</v>
      </c>
      <c r="C72" s="79">
        <f t="shared" si="276"/>
        <v>0.12931987918441687</v>
      </c>
      <c r="D72" s="79">
        <f t="shared" si="276"/>
        <v>0.1017255206545029</v>
      </c>
      <c r="E72" s="79">
        <f t="shared" si="276"/>
        <v>0.16235725602909404</v>
      </c>
      <c r="F72" s="79">
        <f t="shared" si="276"/>
        <v>0.15263194754960321</v>
      </c>
      <c r="G72" s="79">
        <f t="shared" si="276"/>
        <v>0.15257785507787902</v>
      </c>
      <c r="H72" s="79">
        <f t="shared" si="276"/>
        <v>0.13820411872163973</v>
      </c>
      <c r="I72" s="79">
        <f t="shared" si="276"/>
        <v>0.19145428501707343</v>
      </c>
      <c r="J72" s="79">
        <f t="shared" si="276"/>
        <v>0.16222169335109268</v>
      </c>
      <c r="K72" s="79">
        <f t="shared" si="276"/>
        <v>0.18627267683155585</v>
      </c>
      <c r="L72" s="79">
        <f t="shared" si="276"/>
        <v>0.15262719646300835</v>
      </c>
      <c r="M72" s="79">
        <f t="shared" si="276"/>
        <v>0.15844096075194897</v>
      </c>
      <c r="N72" s="79">
        <f>N64/N20</f>
        <v>0.13557265653592579</v>
      </c>
      <c r="O72" s="79">
        <f>O64/O20</f>
        <v>0.17096794362459197</v>
      </c>
      <c r="P72" s="79">
        <f>P64/P20</f>
        <v>0.17356938843064179</v>
      </c>
      <c r="Q72" s="86"/>
      <c r="R72" s="160">
        <f t="shared" si="276"/>
        <v>0</v>
      </c>
      <c r="S72" s="160">
        <f t="shared" si="276"/>
        <v>0</v>
      </c>
      <c r="T72" s="160">
        <f t="shared" si="276"/>
        <v>0</v>
      </c>
      <c r="U72" s="160">
        <f t="shared" si="276"/>
        <v>0</v>
      </c>
      <c r="V72" s="160">
        <f t="shared" si="276"/>
        <v>0</v>
      </c>
      <c r="W72" s="79">
        <f t="shared" si="276"/>
        <v>0.1228814688033472</v>
      </c>
      <c r="X72" s="79">
        <f t="shared" si="276"/>
        <v>0.16411122846868872</v>
      </c>
      <c r="Y72" s="79">
        <f t="shared" si="276"/>
        <v>0.16913341011731164</v>
      </c>
      <c r="Z72" s="86"/>
      <c r="AA72" s="160">
        <f t="shared" si="276"/>
        <v>0</v>
      </c>
      <c r="AB72" s="160">
        <f t="shared" si="276"/>
        <v>0</v>
      </c>
      <c r="AC72" s="160">
        <f t="shared" si="276"/>
        <v>0</v>
      </c>
      <c r="AD72" s="160">
        <f t="shared" si="276"/>
        <v>0</v>
      </c>
      <c r="AE72" s="160">
        <f t="shared" si="276"/>
        <v>0</v>
      </c>
      <c r="AF72" s="79">
        <f t="shared" si="276"/>
        <v>0.11780886711665391</v>
      </c>
      <c r="AG72" s="79">
        <f t="shared" si="276"/>
        <v>0.15544381524445158</v>
      </c>
      <c r="AH72" s="79">
        <f t="shared" si="276"/>
        <v>0.16415774374547915</v>
      </c>
      <c r="AI72" s="79">
        <f t="shared" si="276"/>
        <v>0.1769402367308846</v>
      </c>
      <c r="AJ72" s="86"/>
      <c r="AK72" s="160">
        <f t="shared" si="276"/>
        <v>0</v>
      </c>
      <c r="AL72" s="160">
        <f t="shared" si="276"/>
        <v>0</v>
      </c>
      <c r="AM72" s="160">
        <f t="shared" si="276"/>
        <v>0</v>
      </c>
      <c r="AN72" s="160">
        <f t="shared" si="276"/>
        <v>0</v>
      </c>
      <c r="AO72" s="160">
        <f t="shared" si="276"/>
        <v>0</v>
      </c>
      <c r="AP72" s="160">
        <f t="shared" si="276"/>
        <v>0</v>
      </c>
      <c r="AQ72" s="160">
        <f t="shared" si="276"/>
        <v>0</v>
      </c>
      <c r="AR72" s="160">
        <f t="shared" si="276"/>
        <v>0</v>
      </c>
      <c r="AS72" s="160">
        <f t="shared" si="276"/>
        <v>0</v>
      </c>
      <c r="AT72" s="160">
        <f t="shared" si="276"/>
        <v>0</v>
      </c>
      <c r="AU72" s="160">
        <f t="shared" si="276"/>
        <v>0</v>
      </c>
      <c r="AV72" s="160">
        <f t="shared" si="276"/>
        <v>0</v>
      </c>
      <c r="AW72" s="160">
        <f t="shared" si="276"/>
        <v>0</v>
      </c>
      <c r="AX72" s="160">
        <f t="shared" si="276"/>
        <v>0</v>
      </c>
      <c r="AY72" s="160">
        <f t="shared" si="276"/>
        <v>0</v>
      </c>
      <c r="AZ72" s="160">
        <f t="shared" si="276"/>
        <v>0</v>
      </c>
      <c r="BA72" s="160">
        <f t="shared" si="276"/>
        <v>0</v>
      </c>
      <c r="BB72" s="160">
        <f t="shared" si="276"/>
        <v>0</v>
      </c>
      <c r="BC72" s="160">
        <f t="shared" si="276"/>
        <v>0</v>
      </c>
      <c r="BD72" s="160">
        <f t="shared" si="276"/>
        <v>0</v>
      </c>
      <c r="BE72" s="161">
        <f t="shared" si="276"/>
        <v>0.13597913443593826</v>
      </c>
      <c r="BF72" s="161">
        <f t="shared" si="276"/>
        <v>9.9180952555178559E-2</v>
      </c>
      <c r="BG72" s="161">
        <f t="shared" si="276"/>
        <v>0.13040290956243911</v>
      </c>
      <c r="BH72" s="161">
        <f t="shared" si="276"/>
        <v>0.16391863812610899</v>
      </c>
      <c r="BI72" s="161">
        <f t="shared" si="276"/>
        <v>0.17159208681398033</v>
      </c>
      <c r="BJ72" s="161">
        <f t="shared" si="276"/>
        <v>0.13997258685864211</v>
      </c>
      <c r="BK72" s="161">
        <f t="shared" si="276"/>
        <v>0.17768459221312652</v>
      </c>
      <c r="BL72" s="161">
        <f t="shared" si="276"/>
        <v>0.18693261273687495</v>
      </c>
      <c r="BM72" s="161">
        <f t="shared" si="276"/>
        <v>0.15581557517040492</v>
      </c>
      <c r="BN72" s="161">
        <f t="shared" si="276"/>
        <v>0.17235060283797568</v>
      </c>
      <c r="BO72" s="161">
        <f t="shared" si="276"/>
        <v>0.17616823150270505</v>
      </c>
      <c r="BP72" s="161">
        <f>BP64/BP20</f>
        <v>0.18581717172411108</v>
      </c>
      <c r="BQ72" s="161">
        <f>BQ64/BQ20</f>
        <v>0.21550412060905799</v>
      </c>
      <c r="BR72" s="161">
        <f>BR64/BR20</f>
        <v>0.14242481604746393</v>
      </c>
    </row>
    <row r="73" spans="1:70" x14ac:dyDescent="0.25">
      <c r="A73" s="72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79"/>
      <c r="BM73" s="79"/>
      <c r="BN73" s="79"/>
    </row>
    <row r="74" spans="1:70" x14ac:dyDescent="0.25">
      <c r="A74" s="66" t="s">
        <v>194</v>
      </c>
      <c r="B74" s="114">
        <f>DRE_ACM!C10/1000</f>
        <v>-26.009</v>
      </c>
      <c r="C74" s="114">
        <f>DRE_ACM!D10/1000</f>
        <v>-28.446999999999999</v>
      </c>
      <c r="D74" s="114">
        <f>DRE_ACM!E10/1000</f>
        <v>-40.661999999999999</v>
      </c>
      <c r="E74" s="114">
        <f>DRE_ACM!F10/1000</f>
        <v>-69.873000000000005</v>
      </c>
      <c r="F74" s="114">
        <f>DRE_ACM!G10/1000</f>
        <v>-76.852999999999994</v>
      </c>
      <c r="G74" s="114">
        <f>DRE_ACM!H10/1000</f>
        <v>-90.090999999999994</v>
      </c>
      <c r="H74" s="114">
        <f>DRE_ACM!I10/1000</f>
        <v>-117.393</v>
      </c>
      <c r="I74" s="114">
        <f>SUM(AK74:AN74)</f>
        <v>-157.13200000000001</v>
      </c>
      <c r="J74" s="114">
        <f>SUM(AO74:AR74)</f>
        <v>-190.15899999999999</v>
      </c>
      <c r="K74" s="114">
        <f>SUM(AS74:AV74)</f>
        <v>-199.41199999999998</v>
      </c>
      <c r="L74" s="114">
        <f>SUM(AW74:AZ74)</f>
        <v>-347.46</v>
      </c>
      <c r="M74" s="114">
        <f>SUM(BA74:BD74)</f>
        <v>-505.64800000000002</v>
      </c>
      <c r="N74" s="114">
        <f>SUM(BE74:BH74)</f>
        <v>-804.31600000000003</v>
      </c>
      <c r="O74" s="114">
        <f>SUM(BI74:BL74)</f>
        <v>-1286.2049999999999</v>
      </c>
      <c r="P74" s="114">
        <f>SUM(BM74:BP74)</f>
        <v>-1945.3830000000003</v>
      </c>
      <c r="Q74" s="86"/>
      <c r="R74" s="114">
        <f>SUM(AK74:AM74)</f>
        <v>-106.05799999999999</v>
      </c>
      <c r="S74" s="114">
        <f>SUM(AO74:AQ74)</f>
        <v>-139.459</v>
      </c>
      <c r="T74" s="114">
        <f>SUM(AS74:AU74)</f>
        <v>-164.90199999999999</v>
      </c>
      <c r="U74" s="114">
        <f>SUM(AW74:AY74)</f>
        <v>-228.02699999999999</v>
      </c>
      <c r="V74" s="114">
        <f>SUM(BA74:BC74)</f>
        <v>-353.21000000000004</v>
      </c>
      <c r="W74" s="114">
        <f>SUM(BE74:BG74)</f>
        <v>-506.05000000000007</v>
      </c>
      <c r="X74" s="67">
        <f>SUM(BI74:BK74)</f>
        <v>-941.81499999999994</v>
      </c>
      <c r="Y74" s="67">
        <f>SUM(BM74:BO74)</f>
        <v>-1338.5050000000001</v>
      </c>
      <c r="Z74" s="86"/>
      <c r="AA74" s="114">
        <f>SUM(AK74:AL74)</f>
        <v>-66.024000000000001</v>
      </c>
      <c r="AB74" s="114">
        <f>SUM(AO74:AP74)</f>
        <v>-76.912999999999997</v>
      </c>
      <c r="AC74" s="114">
        <f>SUM(AS74:AT74)</f>
        <v>-95.363</v>
      </c>
      <c r="AD74" s="114">
        <f>SUM(AW74:AX74)</f>
        <v>-127.3</v>
      </c>
      <c r="AE74" s="114">
        <f>SUM(BA74:BB74)</f>
        <v>-210.995</v>
      </c>
      <c r="AF74" s="114">
        <f>SUM(BE74:BF74)</f>
        <v>-292.90200000000004</v>
      </c>
      <c r="AG74" s="114">
        <f>SUM(BI74:BJ74)</f>
        <v>-652.46299999999997</v>
      </c>
      <c r="AH74" s="114">
        <f>SUM(BM74:BN74)</f>
        <v>-797.17499999999995</v>
      </c>
      <c r="AI74" s="114">
        <f>SUM(BQ74:BR74)</f>
        <v>-1185.3879999999999</v>
      </c>
      <c r="AJ74" s="86"/>
      <c r="AK74" s="114">
        <f>DRE_TRI!C10/1000</f>
        <v>-26.143000000000001</v>
      </c>
      <c r="AL74" s="114">
        <f>DRE_TRI!D10/1000</f>
        <v>-39.881</v>
      </c>
      <c r="AM74" s="114">
        <f>DRE_TRI!E10/1000</f>
        <v>-40.033999999999999</v>
      </c>
      <c r="AN74" s="114">
        <f>DRE_TRI!F10/1000</f>
        <v>-51.073999999999998</v>
      </c>
      <c r="AO74" s="114">
        <f>DRE_TRI!H10/1000</f>
        <v>-36.613999999999997</v>
      </c>
      <c r="AP74" s="114">
        <f>DRE_TRI!I10/1000</f>
        <v>-40.298999999999999</v>
      </c>
      <c r="AQ74" s="114">
        <f>DRE_TRI!J10/1000</f>
        <v>-62.545999999999999</v>
      </c>
      <c r="AR74" s="114">
        <f>DRE_TRI!K10/1000</f>
        <v>-50.7</v>
      </c>
      <c r="AS74" s="114">
        <f>DRE_TRI!M10/1000</f>
        <v>-39.674999999999997</v>
      </c>
      <c r="AT74" s="114">
        <f>DRE_TRI!N10/1000</f>
        <v>-55.688000000000002</v>
      </c>
      <c r="AU74" s="114">
        <f>DRE_TRI!O10/1000</f>
        <v>-69.539000000000001</v>
      </c>
      <c r="AV74" s="114">
        <f>DRE_TRI!P10/1000</f>
        <v>-34.51</v>
      </c>
      <c r="AW74" s="114">
        <f>DRE_TRI!R10/1000</f>
        <v>-57.271000000000001</v>
      </c>
      <c r="AX74" s="114">
        <f>DRE_TRI!S10/1000</f>
        <v>-70.028999999999996</v>
      </c>
      <c r="AY74" s="114">
        <f>DRE_TRI!T10/1000</f>
        <v>-100.727</v>
      </c>
      <c r="AZ74" s="114">
        <f>DRE_TRI!U10/1000</f>
        <v>-119.43300000000001</v>
      </c>
      <c r="BA74" s="114">
        <f>DRE_TRI!W10/1000</f>
        <v>-111.693</v>
      </c>
      <c r="BB74" s="114">
        <f>DRE_TRI!X10/1000</f>
        <v>-99.302000000000007</v>
      </c>
      <c r="BC74" s="114">
        <f>DRE_TRI!Y10/1000</f>
        <v>-142.215</v>
      </c>
      <c r="BD74" s="114">
        <f>DRE_TRI!Z10/1000</f>
        <v>-152.43799999999999</v>
      </c>
      <c r="BE74" s="114">
        <f>DRE_TRI!AB10/1000</f>
        <v>-149.49399109159995</v>
      </c>
      <c r="BF74" s="114">
        <f>DRE_TRI!AC10/1000</f>
        <v>-143.40800890840006</v>
      </c>
      <c r="BG74" s="114">
        <f>DRE_TRI!AD10/1000</f>
        <v>-213.148</v>
      </c>
      <c r="BH74" s="114">
        <f>DRE_TRI!AE10/1000</f>
        <v>-298.26600000000002</v>
      </c>
      <c r="BI74" s="114">
        <f>DRE_TRI!AG10/1000</f>
        <v>-314.87700000000001</v>
      </c>
      <c r="BJ74" s="114">
        <f>DRE_TRI!AH10/1000</f>
        <v>-337.58600000000001</v>
      </c>
      <c r="BK74" s="114">
        <f>DRE_TRI!AI10/1000</f>
        <v>-289.35199999999998</v>
      </c>
      <c r="BL74" s="114">
        <f>DRE_TRI!AJ10/1000</f>
        <v>-344.39</v>
      </c>
      <c r="BM74" s="114">
        <f>DRE_TRI!AL10/1000</f>
        <v>-374.39600000000002</v>
      </c>
      <c r="BN74" s="114">
        <f>DRE_TRI!AM10/1000</f>
        <v>-422.779</v>
      </c>
      <c r="BO74" s="114">
        <f>DRE_TRI!AN10/1000</f>
        <v>-541.33000000000004</v>
      </c>
      <c r="BP74" s="114">
        <f>DRE_TRI!AO10/1000</f>
        <v>-606.87800000000004</v>
      </c>
      <c r="BQ74" s="114">
        <f>DRE_TRI!AQ10/1000</f>
        <v>-548.45899999999995</v>
      </c>
      <c r="BR74" s="114">
        <f>DRE_TRI!AR10/1000</f>
        <v>-636.92899999999997</v>
      </c>
    </row>
    <row r="75" spans="1:70" x14ac:dyDescent="0.25">
      <c r="A75" s="78" t="s">
        <v>195</v>
      </c>
      <c r="B75" s="79">
        <f t="shared" ref="B75:L75" si="277">B74/B20</f>
        <v>-6.6397933185946889E-2</v>
      </c>
      <c r="C75" s="79">
        <f t="shared" si="277"/>
        <v>-5.9143708379333068E-2</v>
      </c>
      <c r="D75" s="79">
        <f t="shared" si="277"/>
        <v>-4.5095220984549045E-2</v>
      </c>
      <c r="E75" s="79">
        <f t="shared" si="277"/>
        <v>-7.6172296582804791E-2</v>
      </c>
      <c r="F75" s="79">
        <f t="shared" si="277"/>
        <v>-6.900455942061777E-2</v>
      </c>
      <c r="G75" s="79">
        <f t="shared" si="277"/>
        <v>-7.9020122760945957E-2</v>
      </c>
      <c r="H75" s="79">
        <f t="shared" si="277"/>
        <v>-8.8525181759297564E-2</v>
      </c>
      <c r="I75" s="79">
        <f t="shared" si="277"/>
        <v>-8.177267497153462E-2</v>
      </c>
      <c r="J75" s="79">
        <f t="shared" si="277"/>
        <v>-8.4908672241246208E-2</v>
      </c>
      <c r="K75" s="79">
        <f t="shared" si="277"/>
        <v>-6.4111201371138057E-2</v>
      </c>
      <c r="L75" s="79">
        <f t="shared" si="277"/>
        <v>-6.507573786917431E-2</v>
      </c>
      <c r="M75" s="79">
        <f t="shared" ref="M75:N75" si="278">M74/M20</f>
        <v>-7.3433023240444317E-2</v>
      </c>
      <c r="N75" s="79">
        <f t="shared" si="278"/>
        <v>-8.9378525512167406E-2</v>
      </c>
      <c r="O75" s="79">
        <f t="shared" ref="O75" si="279">O74/O20</f>
        <v>-0.10028285778998511</v>
      </c>
      <c r="P75" s="79">
        <f>P74/P20</f>
        <v>-0.11844978311776055</v>
      </c>
      <c r="Q75" s="86"/>
      <c r="R75" s="79">
        <f t="shared" ref="R75:W75" si="280">R74/R20</f>
        <v>-7.9501460224094433E-2</v>
      </c>
      <c r="S75" s="79">
        <f t="shared" si="280"/>
        <v>-8.9795793847545491E-2</v>
      </c>
      <c r="T75" s="79">
        <f t="shared" si="280"/>
        <v>-7.8436478504023341E-2</v>
      </c>
      <c r="U75" s="79">
        <f t="shared" si="280"/>
        <v>-6.1559074325940454E-2</v>
      </c>
      <c r="V75" s="79">
        <f t="shared" si="280"/>
        <v>-7.7288094440926741E-2</v>
      </c>
      <c r="W75" s="79">
        <f t="shared" si="280"/>
        <v>-8.4774089827996654E-2</v>
      </c>
      <c r="X75" s="79">
        <f t="shared" ref="X75:Y75" si="281">X74/X20</f>
        <v>-0.10496975250489966</v>
      </c>
      <c r="Y75" s="79">
        <f t="shared" si="281"/>
        <v>-0.11101601484234883</v>
      </c>
      <c r="Z75" s="86"/>
      <c r="AA75" s="79">
        <f t="shared" ref="AA75:AE75" si="282">AA74/AA20</f>
        <v>-8.2136434035967834E-2</v>
      </c>
      <c r="AB75" s="79">
        <f t="shared" si="282"/>
        <v>-8.0058431736168667E-2</v>
      </c>
      <c r="AC75" s="79">
        <f t="shared" si="282"/>
        <v>-7.6027001454348264E-2</v>
      </c>
      <c r="AD75" s="79">
        <f t="shared" si="282"/>
        <v>-6.4467022813628511E-2</v>
      </c>
      <c r="AE75" s="79">
        <f t="shared" si="282"/>
        <v>-7.6156679461337598E-2</v>
      </c>
      <c r="AF75" s="79">
        <f>AF74/AF20</f>
        <v>-8.215919154268482E-2</v>
      </c>
      <c r="AG75" s="79">
        <f>AG74/AG20</f>
        <v>-0.11915627723114271</v>
      </c>
      <c r="AH75" s="79">
        <f>AH74/AH20</f>
        <v>-0.11288256667986755</v>
      </c>
      <c r="AI75" s="79">
        <f>AI74/AI20</f>
        <v>-0.13307979654000474</v>
      </c>
      <c r="AJ75" s="86"/>
      <c r="AK75" s="79">
        <f t="shared" ref="AK75:BA75" si="283">AK74/AK20</f>
        <v>-7.8123870038313961E-2</v>
      </c>
      <c r="AL75" s="79">
        <f t="shared" si="283"/>
        <v>-8.4998221966182508E-2</v>
      </c>
      <c r="AM75" s="79">
        <f t="shared" si="283"/>
        <v>-7.5506629415673293E-2</v>
      </c>
      <c r="AN75" s="79">
        <f t="shared" si="283"/>
        <v>-8.6929644414624821E-2</v>
      </c>
      <c r="AO75" s="79">
        <f t="shared" si="283"/>
        <v>-8.1598999862894775E-2</v>
      </c>
      <c r="AP75" s="79">
        <f t="shared" si="283"/>
        <v>-7.8708320273547697E-2</v>
      </c>
      <c r="AQ75" s="79">
        <f t="shared" si="283"/>
        <v>-0.105588265626556</v>
      </c>
      <c r="AR75" s="79">
        <f t="shared" si="283"/>
        <v>-7.3852585374353449E-2</v>
      </c>
      <c r="AS75" s="79">
        <f t="shared" si="283"/>
        <v>-7.7209060775152646E-2</v>
      </c>
      <c r="AT75" s="79">
        <f t="shared" si="283"/>
        <v>-7.5206682495899055E-2</v>
      </c>
      <c r="AU75" s="79">
        <f t="shared" si="283"/>
        <v>-8.200035056498281E-2</v>
      </c>
      <c r="AV75" s="79">
        <f t="shared" si="283"/>
        <v>-3.4234600947126076E-2</v>
      </c>
      <c r="AW75" s="79">
        <f t="shared" si="283"/>
        <v>-7.4448212793117655E-2</v>
      </c>
      <c r="AX75" s="79">
        <f t="shared" si="283"/>
        <v>-5.8097031641474048E-2</v>
      </c>
      <c r="AY75" s="79">
        <f t="shared" si="283"/>
        <v>-5.8239016619978087E-2</v>
      </c>
      <c r="AZ75" s="79">
        <f t="shared" si="283"/>
        <v>-7.3042385719792519E-2</v>
      </c>
      <c r="BA75" s="79">
        <f t="shared" si="283"/>
        <v>-8.7723790187985706E-2</v>
      </c>
      <c r="BB75" s="79">
        <f t="shared" ref="BB75:BC75" si="284">BB74/BB20</f>
        <v>-6.6320562843772579E-2</v>
      </c>
      <c r="BC75" s="79">
        <f t="shared" si="284"/>
        <v>-7.2598973307631987E-2</v>
      </c>
      <c r="BD75" s="79">
        <f t="shared" ref="BD75:BE75" si="285">BD74/BD20</f>
        <v>-7.0691327028657616E-2</v>
      </c>
      <c r="BE75" s="79">
        <f t="shared" si="285"/>
        <v>-8.2836107073767526E-2</v>
      </c>
      <c r="BF75" s="79">
        <f t="shared" ref="BF75:BG75" si="286">BF74/BF20</f>
        <v>-8.1465226811359065E-2</v>
      </c>
      <c r="BG75" s="79">
        <f t="shared" si="286"/>
        <v>-8.8651351193819561E-2</v>
      </c>
      <c r="BH75" s="79">
        <f t="shared" ref="BH75:BI75" si="287">BH74/BH20</f>
        <v>-9.8450938577344049E-2</v>
      </c>
      <c r="BI75" s="79">
        <f t="shared" si="287"/>
        <v>-0.11752551876861662</v>
      </c>
      <c r="BJ75" s="79">
        <f t="shared" ref="BJ75:BK75" si="288">BJ74/BJ20</f>
        <v>-0.12071866342877394</v>
      </c>
      <c r="BK75" s="79">
        <f t="shared" si="288"/>
        <v>-8.2753336211247544E-2</v>
      </c>
      <c r="BL75" s="79">
        <f t="shared" ref="BL75" si="289">BL74/BL20</f>
        <v>-8.9370238323315393E-2</v>
      </c>
      <c r="BM75" s="79">
        <f t="shared" ref="BM75:BP75" si="290">BM74/BM20</f>
        <v>-0.10699755303076179</v>
      </c>
      <c r="BN75" s="79">
        <f t="shared" si="290"/>
        <v>-0.11866224940272757</v>
      </c>
      <c r="BO75" s="79">
        <f t="shared" si="290"/>
        <v>-0.1083769997231164</v>
      </c>
      <c r="BP75" s="79">
        <f t="shared" si="290"/>
        <v>-0.13897449637379977</v>
      </c>
      <c r="BQ75" s="79">
        <f t="shared" ref="BQ75:BR75" si="291">BQ74/BQ20</f>
        <v>-0.13036980143658627</v>
      </c>
      <c r="BR75" s="79">
        <f t="shared" si="291"/>
        <v>-0.13550529448362444</v>
      </c>
    </row>
    <row r="76" spans="1:70" x14ac:dyDescent="0.25">
      <c r="A76" s="72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86"/>
      <c r="R76" s="86"/>
      <c r="S76" s="86"/>
      <c r="T76" s="86"/>
      <c r="U76" s="86"/>
      <c r="V76" s="86"/>
      <c r="W76" s="86"/>
      <c r="X76" s="149"/>
      <c r="Y76" s="149"/>
      <c r="Z76" s="149"/>
      <c r="AA76" s="149"/>
      <c r="AB76" s="86"/>
      <c r="AC76" s="86"/>
      <c r="AD76" s="86"/>
      <c r="AE76" s="86"/>
      <c r="AF76" s="86"/>
      <c r="AG76" s="86"/>
      <c r="AH76" s="86"/>
      <c r="AI76" s="86"/>
      <c r="AJ76" s="86"/>
      <c r="AK76" s="86"/>
      <c r="AL76" s="86"/>
      <c r="AM76" s="86"/>
      <c r="AN76" s="86"/>
      <c r="AO76" s="86"/>
      <c r="AP76" s="86"/>
      <c r="AQ76" s="86"/>
      <c r="AR76" s="86"/>
      <c r="AS76" s="86"/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/>
      <c r="BI76" s="86"/>
      <c r="BJ76" s="86"/>
      <c r="BK76" s="86"/>
      <c r="BL76" s="86"/>
      <c r="BM76" s="86"/>
      <c r="BN76" s="86"/>
    </row>
    <row r="77" spans="1:70" x14ac:dyDescent="0.25">
      <c r="A77" s="66" t="s">
        <v>318</v>
      </c>
      <c r="B77" s="114">
        <f>SUM(B78:B79)</f>
        <v>-22.115000000000002</v>
      </c>
      <c r="C77" s="114">
        <f t="shared" ref="C77:H77" si="292">SUM(C78:C79)</f>
        <v>-18.346999999999994</v>
      </c>
      <c r="D77" s="114">
        <f t="shared" si="292"/>
        <v>-36.962999999999994</v>
      </c>
      <c r="E77" s="114">
        <f t="shared" si="292"/>
        <v>-42.067999999999998</v>
      </c>
      <c r="F77" s="114">
        <f t="shared" si="292"/>
        <v>-77.137</v>
      </c>
      <c r="G77" s="114">
        <f t="shared" si="292"/>
        <v>-28.955999999999996</v>
      </c>
      <c r="H77" s="114">
        <f t="shared" si="292"/>
        <v>-46.554999999999993</v>
      </c>
      <c r="I77" s="114">
        <f>SUM(I78:I79)</f>
        <v>-40.204999999999998</v>
      </c>
      <c r="J77" s="114">
        <f>SUM(J78:J79)</f>
        <v>-23.393999999999991</v>
      </c>
      <c r="K77" s="114">
        <f>SUM(K78:K79)</f>
        <v>-73.492000000000004</v>
      </c>
      <c r="L77" s="114">
        <f>SUM(L78:L79)</f>
        <v>26.242999999999995</v>
      </c>
      <c r="M77" s="114">
        <f>SUM(M78:M79)</f>
        <v>2.6700000000000159</v>
      </c>
      <c r="N77" s="114">
        <f>SUM(BE77:BH77)</f>
        <v>-12.969999999999978</v>
      </c>
      <c r="O77" s="114">
        <f>SUM(BI77:BL77)</f>
        <v>-244.27200000000008</v>
      </c>
      <c r="P77" s="114">
        <f>SUM(BM77:BP77)</f>
        <v>497.036</v>
      </c>
      <c r="Q77" s="86"/>
      <c r="R77" s="114">
        <f t="shared" ref="R77:W77" si="293">SUM(R78:R79)</f>
        <v>-56.513999999999996</v>
      </c>
      <c r="S77" s="114">
        <f t="shared" si="293"/>
        <v>-4.3209999999999837</v>
      </c>
      <c r="T77" s="114">
        <f t="shared" si="293"/>
        <v>-46.606999999999999</v>
      </c>
      <c r="U77" s="114">
        <f t="shared" si="293"/>
        <v>4.0740000000000123</v>
      </c>
      <c r="V77" s="114">
        <f t="shared" si="293"/>
        <v>14.742000000000019</v>
      </c>
      <c r="W77" s="114">
        <f t="shared" si="293"/>
        <v>-45.733000000000004</v>
      </c>
      <c r="X77" s="150">
        <f>SUM(X78:X79)</f>
        <v>-57.818000000000012</v>
      </c>
      <c r="Y77" s="150">
        <f>SUM(Y78:Y79)</f>
        <v>511.02299999999997</v>
      </c>
      <c r="Z77" s="149"/>
      <c r="AA77" s="131">
        <f t="shared" ref="AA77:AE77" si="294">SUM(AA78:AA79)</f>
        <v>-39.683</v>
      </c>
      <c r="AB77" s="114">
        <f t="shared" si="294"/>
        <v>6.7080000000000055</v>
      </c>
      <c r="AC77" s="114">
        <f t="shared" si="294"/>
        <v>-59.367000000000004</v>
      </c>
      <c r="AD77" s="114">
        <f t="shared" si="294"/>
        <v>19.382000000000005</v>
      </c>
      <c r="AE77" s="114">
        <f t="shared" si="294"/>
        <v>12.162000000000006</v>
      </c>
      <c r="AF77" s="114">
        <f>SUM(AF78:AF79)</f>
        <v>0.67499999999998295</v>
      </c>
      <c r="AG77" s="114">
        <f>SUM(AG78:AG79)</f>
        <v>-171.16900000000001</v>
      </c>
      <c r="AH77" s="114">
        <f>SUM(AH78:AH79)</f>
        <v>261.81600000000003</v>
      </c>
      <c r="AI77" s="114">
        <f>SUM(AI78:AI79)</f>
        <v>58.725999999999999</v>
      </c>
      <c r="AJ77" s="86"/>
      <c r="AK77" s="114">
        <f t="shared" ref="AK77:AY77" si="295">SUM(AK78:AK79)</f>
        <v>-12.656000000000002</v>
      </c>
      <c r="AL77" s="114">
        <f t="shared" si="295"/>
        <v>-27.027000000000005</v>
      </c>
      <c r="AM77" s="114">
        <f t="shared" si="295"/>
        <v>-16.831</v>
      </c>
      <c r="AN77" s="114">
        <f t="shared" si="295"/>
        <v>16.308999999999997</v>
      </c>
      <c r="AO77" s="114">
        <f t="shared" si="295"/>
        <v>-2.6529999999999987</v>
      </c>
      <c r="AP77" s="114">
        <f t="shared" si="295"/>
        <v>9.3610000000000007</v>
      </c>
      <c r="AQ77" s="114">
        <f t="shared" si="295"/>
        <v>-11.029</v>
      </c>
      <c r="AR77" s="114">
        <f t="shared" si="295"/>
        <v>-19.073</v>
      </c>
      <c r="AS77" s="114">
        <f t="shared" si="295"/>
        <v>-21.47</v>
      </c>
      <c r="AT77" s="114">
        <f t="shared" si="295"/>
        <v>-37.897000000000006</v>
      </c>
      <c r="AU77" s="114">
        <f t="shared" si="295"/>
        <v>12.759999999999998</v>
      </c>
      <c r="AV77" s="114">
        <f t="shared" si="295"/>
        <v>-26.885000000000005</v>
      </c>
      <c r="AW77" s="114">
        <f t="shared" si="295"/>
        <v>-5.0850000000000009</v>
      </c>
      <c r="AX77" s="114">
        <f t="shared" si="295"/>
        <v>24.467000000000006</v>
      </c>
      <c r="AY77" s="114">
        <f t="shared" si="295"/>
        <v>-15.307999999999993</v>
      </c>
      <c r="AZ77" s="114">
        <f t="shared" ref="AZ77:BE77" si="296">SUM(AZ78:AZ79)</f>
        <v>22.169</v>
      </c>
      <c r="BA77" s="114">
        <f t="shared" si="296"/>
        <v>5.7639999999999958</v>
      </c>
      <c r="BB77" s="114">
        <f t="shared" si="296"/>
        <v>6.3980000000000103</v>
      </c>
      <c r="BC77" s="114">
        <f t="shared" si="296"/>
        <v>2.5800000000000054</v>
      </c>
      <c r="BD77" s="114">
        <f t="shared" si="296"/>
        <v>-12.072000000000003</v>
      </c>
      <c r="BE77" s="114">
        <f t="shared" si="296"/>
        <v>-16.455386510000018</v>
      </c>
      <c r="BF77" s="114">
        <f t="shared" ref="BF77:BG77" si="297">SUM(BF78:BF79)</f>
        <v>17.130386510000022</v>
      </c>
      <c r="BG77" s="114">
        <f t="shared" si="297"/>
        <v>-46.407999999999987</v>
      </c>
      <c r="BH77" s="114">
        <f t="shared" ref="BH77:BI77" si="298">SUM(BH78:BH79)</f>
        <v>32.763000000000005</v>
      </c>
      <c r="BI77" s="114">
        <f t="shared" si="298"/>
        <v>-9.063999999999993</v>
      </c>
      <c r="BJ77" s="114">
        <f>SUM(BJ78:BJ79)</f>
        <v>-162.10500000000002</v>
      </c>
      <c r="BK77" s="131">
        <f>SUM(BK78:BK79)</f>
        <v>113.351</v>
      </c>
      <c r="BL77" s="131">
        <f>SUM(BL78:BL79)</f>
        <v>-186.45400000000006</v>
      </c>
      <c r="BM77" s="131">
        <f t="shared" ref="BM77:BN77" si="299">SUM(BM78:BM79)</f>
        <v>111.58500000000004</v>
      </c>
      <c r="BN77" s="131">
        <f t="shared" si="299"/>
        <v>150.23099999999999</v>
      </c>
      <c r="BO77" s="131">
        <f>SUM(BO78:BO79)</f>
        <v>249.20699999999999</v>
      </c>
      <c r="BP77" s="131">
        <f>SUM(BP78:BP79)</f>
        <v>-13.987000000000002</v>
      </c>
      <c r="BQ77" s="131">
        <f>SUM(BQ78:BQ79)</f>
        <v>-10.399000000000029</v>
      </c>
      <c r="BR77" s="131">
        <f>SUM(BR78:BR79)</f>
        <v>69.125</v>
      </c>
    </row>
    <row r="78" spans="1:70" x14ac:dyDescent="0.25">
      <c r="A78" s="22" t="s">
        <v>313</v>
      </c>
      <c r="B78" s="27">
        <f>DRE_ACM!C17/1000</f>
        <v>27.695</v>
      </c>
      <c r="C78" s="27">
        <f>DRE_ACM!D17/1000</f>
        <v>43.56</v>
      </c>
      <c r="D78" s="27">
        <f>DRE_ACM!E17/1000</f>
        <v>45.048000000000002</v>
      </c>
      <c r="E78" s="27">
        <f>DRE_ACM!F17/1000</f>
        <v>60.296999999999997</v>
      </c>
      <c r="F78" s="27">
        <f>DRE_ACM!G17/1000</f>
        <v>47.606999999999999</v>
      </c>
      <c r="G78" s="27">
        <f>DRE_ACM!H17/1000</f>
        <v>52.414999999999999</v>
      </c>
      <c r="H78" s="27">
        <f>DRE_ACM!I17/1000</f>
        <v>37.152000000000001</v>
      </c>
      <c r="I78" s="90">
        <f>SUM(AK78:AN78)</f>
        <v>49.39</v>
      </c>
      <c r="J78" s="90">
        <f>SUM(AO78:AR78)</f>
        <v>73.082999999999998</v>
      </c>
      <c r="K78" s="90">
        <f>SUM(AS78:AV78)</f>
        <v>118.48</v>
      </c>
      <c r="L78" s="90">
        <f>SUM(AW78:AZ78)</f>
        <v>207.76900000000001</v>
      </c>
      <c r="M78" s="90">
        <f>SUM(BA78:BD78)</f>
        <v>318.952</v>
      </c>
      <c r="N78" s="90">
        <f>SUM(BE78:BH78)</f>
        <v>382.54599999999999</v>
      </c>
      <c r="O78" s="90">
        <f t="shared" ref="O78:O79" si="300">SUM(BI78:BL78)</f>
        <v>1100.7139999999999</v>
      </c>
      <c r="P78" s="90">
        <f>SUM(BM78:BP78)</f>
        <v>983.61400000000003</v>
      </c>
      <c r="Q78" s="86"/>
      <c r="R78" s="90">
        <f>SUM(AK78:AM78)</f>
        <v>41.230000000000004</v>
      </c>
      <c r="S78" s="90">
        <f>SUM(AO78:AQ78)</f>
        <v>67.903000000000006</v>
      </c>
      <c r="T78" s="90">
        <f>SUM(AS78:AU78)</f>
        <v>105.107</v>
      </c>
      <c r="U78" s="90">
        <f>SUM(AW78:AY78)</f>
        <v>155.76600000000002</v>
      </c>
      <c r="V78" s="90">
        <f>SUM(BA78:BC78)</f>
        <v>255.18100000000001</v>
      </c>
      <c r="W78" s="90">
        <f>SUM(BE78:BG78)</f>
        <v>272.012</v>
      </c>
      <c r="X78" s="46">
        <v>212.67699999999999</v>
      </c>
      <c r="Y78" s="90">
        <v>837.03</v>
      </c>
      <c r="Z78" s="149"/>
      <c r="AA78" s="90">
        <f>SUM(AK78:AL78)</f>
        <v>34.35</v>
      </c>
      <c r="AB78" s="90">
        <f>SUM(AO78:AP78)</f>
        <v>43.603000000000002</v>
      </c>
      <c r="AC78" s="90">
        <f>SUM(AS78:AT78)</f>
        <v>58.015000000000001</v>
      </c>
      <c r="AD78" s="90">
        <f>SUM(AW78:AX78)</f>
        <v>103.13500000000001</v>
      </c>
      <c r="AE78" s="90">
        <f>SUM(BA78:BB78)</f>
        <v>191.917</v>
      </c>
      <c r="AF78" s="90">
        <f>SUM(BE78:BF78)</f>
        <v>176.059</v>
      </c>
      <c r="AG78" s="90">
        <f>SUM(BI78:BJ78)</f>
        <v>247.9</v>
      </c>
      <c r="AH78" s="90">
        <f>SUM(BM78:BN78)</f>
        <v>633.01900000000001</v>
      </c>
      <c r="AI78" s="90">
        <f>SUM(BQ78:BR78)</f>
        <v>518.66300000000001</v>
      </c>
      <c r="AJ78" s="86"/>
      <c r="AK78" s="90">
        <f>DRE_TRI!C16/1000</f>
        <v>7.6040000000000001</v>
      </c>
      <c r="AL78" s="90">
        <f>DRE_TRI!D16/1000</f>
        <v>26.745999999999999</v>
      </c>
      <c r="AM78" s="90">
        <f>DRE_TRI!E16/1000</f>
        <v>6.88</v>
      </c>
      <c r="AN78" s="90">
        <f>DRE_TRI!F16/1000</f>
        <v>8.16</v>
      </c>
      <c r="AO78" s="90">
        <f>DRE_TRI!H16/1000</f>
        <v>17.03</v>
      </c>
      <c r="AP78" s="90">
        <f>DRE_TRI!I16/1000</f>
        <v>26.573</v>
      </c>
      <c r="AQ78" s="90">
        <f>DRE_TRI!J16/1000</f>
        <v>24.3</v>
      </c>
      <c r="AR78" s="90">
        <f>DRE_TRI!K16/1000</f>
        <v>5.18</v>
      </c>
      <c r="AS78" s="90">
        <f>DRE_TRI!M16/1000</f>
        <v>32.402999999999999</v>
      </c>
      <c r="AT78" s="90">
        <f>DRE_TRI!N16/1000</f>
        <v>25.611999999999998</v>
      </c>
      <c r="AU78" s="90">
        <f>DRE_TRI!O16/1000</f>
        <v>47.091999999999999</v>
      </c>
      <c r="AV78" s="90">
        <f>DRE_TRI!P16/1000</f>
        <v>13.372999999999999</v>
      </c>
      <c r="AW78" s="90">
        <f>DRE_TRI!R16/1000</f>
        <v>30.47</v>
      </c>
      <c r="AX78" s="90">
        <f>DRE_TRI!S16/1000</f>
        <v>72.665000000000006</v>
      </c>
      <c r="AY78" s="90">
        <f>DRE_TRI!T16/1000</f>
        <v>52.631</v>
      </c>
      <c r="AZ78" s="90">
        <f>DRE_TRI!U16/1000</f>
        <v>52.003</v>
      </c>
      <c r="BA78" s="90">
        <f>DRE_TRI!W16/1000</f>
        <v>80.076999999999998</v>
      </c>
      <c r="BB78" s="90">
        <f>DRE_TRI!X16/1000</f>
        <v>111.84</v>
      </c>
      <c r="BC78" s="90">
        <f>DRE_TRI!Y16/1000</f>
        <v>63.264000000000003</v>
      </c>
      <c r="BD78" s="90">
        <f>DRE_TRI!Z16/1000</f>
        <v>63.771000000000001</v>
      </c>
      <c r="BE78" s="90">
        <f>DRE_TRI!AB16/1000</f>
        <v>62.274999999999999</v>
      </c>
      <c r="BF78" s="90">
        <f>DRE_TRI!AC16/1000</f>
        <v>113.78400000000001</v>
      </c>
      <c r="BG78" s="90">
        <f>DRE_TRI!AD16/1000</f>
        <v>95.953000000000003</v>
      </c>
      <c r="BH78" s="90">
        <f>DRE_TRI!AE16/1000</f>
        <v>110.53400000000001</v>
      </c>
      <c r="BI78" s="90">
        <f>DRE_TRI!AG16/1000</f>
        <v>90.811000000000007</v>
      </c>
      <c r="BJ78" s="90">
        <f>DRE_TRI!AH16/1000</f>
        <v>157.089</v>
      </c>
      <c r="BK78" s="90">
        <f>DRE_TRI!AI16/1000</f>
        <v>303.23099999999999</v>
      </c>
      <c r="BL78" s="90">
        <f>DRE_TRI!AJ16/1000</f>
        <v>549.58299999999997</v>
      </c>
      <c r="BM78" s="90">
        <f>DRE_TRI!AL16/1000</f>
        <v>331.66</v>
      </c>
      <c r="BN78" s="90">
        <f>DRE_TRI!AM16/1000</f>
        <v>301.35899999999998</v>
      </c>
      <c r="BO78" s="90">
        <f>DRE_TRI!AN16/1000</f>
        <v>331.73899999999998</v>
      </c>
      <c r="BP78" s="90">
        <f>DRE_TRI!AO16/1000</f>
        <v>18.856000000000002</v>
      </c>
      <c r="BQ78" s="90">
        <f>DRE_TRI!AQ16/1000</f>
        <v>252.74199999999999</v>
      </c>
      <c r="BR78" s="90">
        <f>DRE_TRI!AR16/1000</f>
        <v>265.92099999999999</v>
      </c>
    </row>
    <row r="79" spans="1:70" x14ac:dyDescent="0.25">
      <c r="A79" s="91" t="s">
        <v>314</v>
      </c>
      <c r="B79" s="115">
        <f>DRE_ACM!C18/1000</f>
        <v>-49.81</v>
      </c>
      <c r="C79" s="115">
        <f>DRE_ACM!D18/1000</f>
        <v>-61.906999999999996</v>
      </c>
      <c r="D79" s="115">
        <f>DRE_ACM!E18/1000</f>
        <v>-82.010999999999996</v>
      </c>
      <c r="E79" s="115">
        <f>DRE_ACM!F18/1000</f>
        <v>-102.36499999999999</v>
      </c>
      <c r="F79" s="115">
        <f>DRE_ACM!G18/1000</f>
        <v>-124.744</v>
      </c>
      <c r="G79" s="115">
        <f>DRE_ACM!H18/1000</f>
        <v>-81.370999999999995</v>
      </c>
      <c r="H79" s="115">
        <f>DRE_ACM!I18/1000</f>
        <v>-83.706999999999994</v>
      </c>
      <c r="I79" s="115">
        <f>SUM(AK79:AN79)</f>
        <v>-89.594999999999999</v>
      </c>
      <c r="J79" s="115">
        <f>SUM(AO79:AR79)</f>
        <v>-96.47699999999999</v>
      </c>
      <c r="K79" s="115">
        <f>SUM(AS79:AV79)</f>
        <v>-191.97200000000001</v>
      </c>
      <c r="L79" s="115">
        <f>SUM(AW79:AZ79)</f>
        <v>-181.52600000000001</v>
      </c>
      <c r="M79" s="115">
        <f>SUM(BA79:BD79)</f>
        <v>-316.28199999999998</v>
      </c>
      <c r="N79" s="115">
        <f>SUM(BE79:BH79)</f>
        <v>-395.51600000000002</v>
      </c>
      <c r="O79" s="115">
        <f t="shared" si="300"/>
        <v>-1344.9860000000001</v>
      </c>
      <c r="P79" s="115">
        <f>SUM(BM79:BP79)</f>
        <v>-486.57799999999997</v>
      </c>
      <c r="Q79" s="86"/>
      <c r="R79" s="115">
        <f>SUM(AK79:AM79)</f>
        <v>-97.744</v>
      </c>
      <c r="S79" s="115">
        <f>SUM(AO79:AQ79)</f>
        <v>-72.22399999999999</v>
      </c>
      <c r="T79" s="115">
        <f>SUM(AS79:AU79)</f>
        <v>-151.714</v>
      </c>
      <c r="U79" s="115">
        <f>SUM(AW79:AY79)</f>
        <v>-151.69200000000001</v>
      </c>
      <c r="V79" s="115">
        <f>SUM(BA79:BC79)</f>
        <v>-240.43899999999999</v>
      </c>
      <c r="W79" s="115">
        <f>SUM(BE79:BG79)</f>
        <v>-317.745</v>
      </c>
      <c r="X79" s="46">
        <v>-270.495</v>
      </c>
      <c r="Y79" s="46">
        <v>-326.00700000000001</v>
      </c>
      <c r="Z79" s="149"/>
      <c r="AA79" s="145">
        <f>SUM(AK79:AL79)</f>
        <v>-74.033000000000001</v>
      </c>
      <c r="AB79" s="115">
        <f>SUM(AO79:AP79)</f>
        <v>-36.894999999999996</v>
      </c>
      <c r="AC79" s="115">
        <f>SUM(AS79:AT79)</f>
        <v>-117.38200000000001</v>
      </c>
      <c r="AD79" s="115">
        <f>SUM(AW79:AX79)</f>
        <v>-83.753</v>
      </c>
      <c r="AE79" s="115">
        <f>SUM(BA79:BB79)</f>
        <v>-179.755</v>
      </c>
      <c r="AF79" s="115">
        <f>SUM(BE79:BF79)</f>
        <v>-175.38400000000001</v>
      </c>
      <c r="AG79" s="115">
        <f>SUM(BI79:BJ79)</f>
        <v>-419.06900000000002</v>
      </c>
      <c r="AH79" s="115">
        <f>SUM(BM79:BN79)</f>
        <v>-371.20299999999997</v>
      </c>
      <c r="AI79" s="115">
        <f>SUM(BQ79:BR79)</f>
        <v>-459.93700000000001</v>
      </c>
      <c r="AJ79" s="86"/>
      <c r="AK79" s="115">
        <f>DRE_TRI!C17/1000</f>
        <v>-20.260000000000002</v>
      </c>
      <c r="AL79" s="115">
        <f>DRE_TRI!D17/1000</f>
        <v>-53.773000000000003</v>
      </c>
      <c r="AM79" s="115">
        <f>DRE_TRI!E17/1000</f>
        <v>-23.710999999999999</v>
      </c>
      <c r="AN79" s="115">
        <f>DRE_TRI!F17/1000</f>
        <v>8.1489999999999991</v>
      </c>
      <c r="AO79" s="115">
        <f>DRE_TRI!H17/1000</f>
        <v>-19.683</v>
      </c>
      <c r="AP79" s="115">
        <f>DRE_TRI!I17/1000</f>
        <v>-17.212</v>
      </c>
      <c r="AQ79" s="115">
        <f>DRE_TRI!J17/1000</f>
        <v>-35.329000000000001</v>
      </c>
      <c r="AR79" s="115">
        <f>DRE_TRI!K17/1000</f>
        <v>-24.253</v>
      </c>
      <c r="AS79" s="115">
        <f>DRE_TRI!M17/1000</f>
        <v>-53.872999999999998</v>
      </c>
      <c r="AT79" s="115">
        <f>DRE_TRI!N17/1000</f>
        <v>-63.509</v>
      </c>
      <c r="AU79" s="115">
        <f>DRE_TRI!O17/1000</f>
        <v>-34.332000000000001</v>
      </c>
      <c r="AV79" s="115">
        <f>DRE_TRI!P17/1000</f>
        <v>-40.258000000000003</v>
      </c>
      <c r="AW79" s="115">
        <f>DRE_TRI!R17/1000</f>
        <v>-35.555</v>
      </c>
      <c r="AX79" s="115">
        <f>DRE_TRI!S17/1000</f>
        <v>-48.198</v>
      </c>
      <c r="AY79" s="115">
        <f>DRE_TRI!T17/1000</f>
        <v>-67.938999999999993</v>
      </c>
      <c r="AZ79" s="115">
        <f>DRE_TRI!U17/1000</f>
        <v>-29.834</v>
      </c>
      <c r="BA79" s="115">
        <f>DRE_TRI!W17/1000</f>
        <v>-74.313000000000002</v>
      </c>
      <c r="BB79" s="115">
        <f>DRE_TRI!X17/1000</f>
        <v>-105.44199999999999</v>
      </c>
      <c r="BC79" s="115">
        <f>DRE_TRI!Y17/1000</f>
        <v>-60.683999999999997</v>
      </c>
      <c r="BD79" s="115">
        <f>DRE_TRI!Z17/1000</f>
        <v>-75.843000000000004</v>
      </c>
      <c r="BE79" s="115">
        <f>DRE_TRI!AB17/1000</f>
        <v>-78.730386510000017</v>
      </c>
      <c r="BF79" s="115">
        <f>DRE_TRI!AC17/1000</f>
        <v>-96.653613489999984</v>
      </c>
      <c r="BG79" s="115">
        <f>DRE_TRI!AD17/1000</f>
        <v>-142.36099999999999</v>
      </c>
      <c r="BH79" s="115">
        <f>DRE_TRI!AE17/1000</f>
        <v>-77.771000000000001</v>
      </c>
      <c r="BI79" s="115">
        <f>DRE_TRI!AG17/1000</f>
        <v>-99.875</v>
      </c>
      <c r="BJ79" s="115">
        <f>DRE_TRI!AH17/1000</f>
        <v>-319.19400000000002</v>
      </c>
      <c r="BK79" s="145">
        <f>DRE_TRI!AI17/1000</f>
        <v>-189.88</v>
      </c>
      <c r="BL79" s="145">
        <f>DRE_TRI!AJ17/1000</f>
        <v>-736.03700000000003</v>
      </c>
      <c r="BM79" s="145">
        <f>DRE_TRI!AL17/1000</f>
        <v>-220.07499999999999</v>
      </c>
      <c r="BN79" s="145">
        <f>DRE_TRI!AM17/1000</f>
        <v>-151.12799999999999</v>
      </c>
      <c r="BO79" s="145">
        <f>DRE_TRI!AN17/1000</f>
        <v>-82.531999999999996</v>
      </c>
      <c r="BP79" s="145">
        <f>DRE_TRI!AO17/1000</f>
        <v>-32.843000000000004</v>
      </c>
      <c r="BQ79" s="145">
        <f>DRE_TRI!AQ17/1000</f>
        <v>-263.14100000000002</v>
      </c>
      <c r="BR79" s="145">
        <f>DRE_TRI!AR17/1000</f>
        <v>-196.79599999999999</v>
      </c>
    </row>
    <row r="80" spans="1:70" x14ac:dyDescent="0.25">
      <c r="A80" s="91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90"/>
      <c r="P80" s="90"/>
      <c r="Q80" s="86"/>
      <c r="R80" s="86"/>
      <c r="S80" s="86"/>
      <c r="T80" s="86"/>
      <c r="U80" s="86"/>
      <c r="V80" s="86"/>
      <c r="W80" s="86"/>
      <c r="X80" s="149"/>
      <c r="Y80" s="149"/>
      <c r="Z80" s="149"/>
      <c r="AA80" s="149"/>
      <c r="AB80" s="86"/>
      <c r="AC80" s="86"/>
      <c r="AD80" s="86"/>
      <c r="AE80" s="86"/>
      <c r="AF80" s="86"/>
      <c r="AG80" s="86"/>
      <c r="AH80" s="86"/>
      <c r="AI80" s="86"/>
      <c r="AJ80" s="86"/>
      <c r="AK80" s="86"/>
      <c r="AL80" s="86"/>
      <c r="AM80" s="86"/>
      <c r="AN80" s="86"/>
      <c r="AO80" s="86"/>
      <c r="AP80" s="86"/>
      <c r="AQ80" s="86"/>
      <c r="AR80" s="86"/>
      <c r="AS80" s="86"/>
      <c r="AT80" s="86"/>
      <c r="AU80" s="86"/>
      <c r="AV80" s="86"/>
      <c r="AW80" s="86"/>
      <c r="AX80" s="86"/>
      <c r="AY80" s="86"/>
      <c r="AZ80" s="86"/>
      <c r="BA80" s="86"/>
      <c r="BB80" s="86"/>
      <c r="BC80" s="86"/>
      <c r="BD80" s="86"/>
      <c r="BE80" s="86"/>
      <c r="BF80" s="86"/>
      <c r="BG80" s="86"/>
      <c r="BH80" s="86"/>
      <c r="BI80" s="86"/>
      <c r="BK80" s="151"/>
      <c r="BL80" s="149"/>
      <c r="BM80" s="149"/>
      <c r="BN80" s="149"/>
      <c r="BO80" s="151"/>
      <c r="BP80" s="1"/>
      <c r="BQ80" s="1"/>
    </row>
    <row r="81" spans="1:70" x14ac:dyDescent="0.25">
      <c r="A81" s="66" t="s">
        <v>196</v>
      </c>
      <c r="B81" s="70">
        <f>DRE_ACM!C27/1000</f>
        <v>40.128</v>
      </c>
      <c r="C81" s="70">
        <f>DRE_ACM!D27/1000</f>
        <v>35.764000000000003</v>
      </c>
      <c r="D81" s="70">
        <f>DRE_ACM!E27/1000</f>
        <v>56.984999999999999</v>
      </c>
      <c r="E81" s="70">
        <f>DRE_ACM!F27/1000</f>
        <v>89.164000000000001</v>
      </c>
      <c r="F81" s="70">
        <f>DRE_ACM!G27/1000</f>
        <v>104.093</v>
      </c>
      <c r="G81" s="70">
        <f>DRE_ACM!H27/1000</f>
        <v>80.367999999999995</v>
      </c>
      <c r="H81" s="70">
        <f>DRE_ACM!I27/1000</f>
        <v>84.768000000000001</v>
      </c>
      <c r="I81" s="89">
        <f>SUM(AK81:AN81)</f>
        <v>190.91800000000001</v>
      </c>
      <c r="J81" s="89">
        <f>SUM(AO81:AR81)</f>
        <v>189.60500000000002</v>
      </c>
      <c r="K81" s="89">
        <f>SUM(AS81:AV81)</f>
        <v>417.43700000000001</v>
      </c>
      <c r="L81" s="89">
        <f>SUM(AW81:AZ81)</f>
        <v>381.05800000000005</v>
      </c>
      <c r="M81" s="89">
        <f>SUM(BA81:BD81)</f>
        <v>575.39700000000005</v>
      </c>
      <c r="N81" s="70">
        <f>SUM(BE81:BH81)</f>
        <v>499.28699999999998</v>
      </c>
      <c r="O81" s="114">
        <f t="shared" ref="O81" si="301">SUM(BI81:BL81)</f>
        <v>1340.6610000000001</v>
      </c>
      <c r="P81" s="114">
        <f>SUM(BM81:BP81)</f>
        <v>658.37599999999998</v>
      </c>
      <c r="Q81" s="86"/>
      <c r="R81" s="89">
        <f>SUM(AK81:AM81)</f>
        <v>128.03100000000001</v>
      </c>
      <c r="S81" s="89">
        <f>SUM(AO81:AQ81)</f>
        <v>76.997</v>
      </c>
      <c r="T81" s="89">
        <f>SUM(AS81:AU81)</f>
        <v>244.709</v>
      </c>
      <c r="U81" s="89">
        <f>SUM(AW81:AY81)</f>
        <v>297.50800000000004</v>
      </c>
      <c r="V81" s="89">
        <f>SUM(BA81:BC81)</f>
        <v>326.22300000000001</v>
      </c>
      <c r="W81" s="89">
        <f>SUM(BE81:BG81)</f>
        <v>353.67899999999997</v>
      </c>
      <c r="X81" s="89">
        <f>SUM(BI81:BK81)</f>
        <v>974.7</v>
      </c>
      <c r="Y81" s="89">
        <f>SUM(BM81:BO81)</f>
        <v>528.87099999999998</v>
      </c>
      <c r="Z81" s="149"/>
      <c r="AA81" s="89">
        <f>SUM(AK81:AL81)</f>
        <v>88.65100000000001</v>
      </c>
      <c r="AB81" s="89">
        <f>SUM(AO81:AP81)</f>
        <v>34.420999999999999</v>
      </c>
      <c r="AC81" s="89">
        <f>SUM(AS81:AT81)</f>
        <v>113.17099999999999</v>
      </c>
      <c r="AD81" s="89">
        <f>SUM(AW81:AX81)</f>
        <v>178.072</v>
      </c>
      <c r="AE81" s="89">
        <f>SUM(BA81:BB81)</f>
        <v>217.23492619000001</v>
      </c>
      <c r="AF81" s="89">
        <f>SUM(BE81:BF81)</f>
        <v>175.99100000000001</v>
      </c>
      <c r="AG81" s="70">
        <f>SUM(BI81:BJ81)</f>
        <v>609.303</v>
      </c>
      <c r="AH81" s="70">
        <f>SUM(BM81:BN81)</f>
        <v>494.87400000000002</v>
      </c>
      <c r="AI81" s="70">
        <f>SUM(BQ81:BR81)</f>
        <v>343.30899999999997</v>
      </c>
      <c r="AK81" s="89">
        <f>DRE_TRI!C26/1000</f>
        <v>32.426000000000002</v>
      </c>
      <c r="AL81" s="89">
        <f>DRE_TRI!D26/1000</f>
        <v>56.225000000000001</v>
      </c>
      <c r="AM81" s="89">
        <f>DRE_TRI!E26/1000</f>
        <v>39.380000000000003</v>
      </c>
      <c r="AN81" s="89">
        <f>DRE_TRI!F26/1000</f>
        <v>62.887</v>
      </c>
      <c r="AO81" s="89">
        <f>DRE_TRI!H26/1000</f>
        <v>17.843</v>
      </c>
      <c r="AP81" s="89">
        <f>DRE_TRI!I26/1000</f>
        <v>16.577999999999999</v>
      </c>
      <c r="AQ81" s="89">
        <f>DRE_TRI!J26/1000</f>
        <v>42.576000000000001</v>
      </c>
      <c r="AR81" s="89">
        <f>DRE_TRI!K26/1000</f>
        <v>112.608</v>
      </c>
      <c r="AS81" s="89">
        <f>DRE_TRI!M26/1000</f>
        <v>34.526000000000003</v>
      </c>
      <c r="AT81" s="89">
        <f>DRE_TRI!N26/1000</f>
        <v>78.644999999999996</v>
      </c>
      <c r="AU81" s="89">
        <f>DRE_TRI!O26/1000</f>
        <v>131.53800000000001</v>
      </c>
      <c r="AV81" s="89">
        <f>DRE_TRI!P26/1000</f>
        <v>172.72800000000001</v>
      </c>
      <c r="AW81" s="89">
        <f>DRE_TRI!R26/1000</f>
        <v>55.732999999999997</v>
      </c>
      <c r="AX81" s="89">
        <f>DRE_TRI!S26/1000</f>
        <v>122.339</v>
      </c>
      <c r="AY81" s="89">
        <f>DRE_TRI!T26/1000</f>
        <v>119.43600000000001</v>
      </c>
      <c r="AZ81" s="89">
        <f>DRE_TRI!U26/1000</f>
        <v>83.55</v>
      </c>
      <c r="BA81" s="89">
        <f>DRE_TRI!W26/1000</f>
        <v>54.56</v>
      </c>
      <c r="BB81" s="89">
        <f>DRE_TRI!X26/1000</f>
        <v>162.67492619000001</v>
      </c>
      <c r="BC81" s="89">
        <f>DRE_TRI!Y26/1000</f>
        <v>108.98807381</v>
      </c>
      <c r="BD81" s="89">
        <f>DRE_TRI!Z26/1000</f>
        <v>249.17400000000001</v>
      </c>
      <c r="BE81" s="89">
        <f>DRE_TRI!AB26/1000</f>
        <v>122.48495477839953</v>
      </c>
      <c r="BF81" s="89">
        <f>DRE_TRI!AC26/1000</f>
        <v>53.50604522160048</v>
      </c>
      <c r="BG81" s="89">
        <f>DRE_TRI!AD26/1000</f>
        <v>177.68799999999999</v>
      </c>
      <c r="BH81" s="89">
        <f>DRE_TRI!AE26/1000</f>
        <v>145.608</v>
      </c>
      <c r="BI81" s="89">
        <f>DRE_TRI!AG26/1000</f>
        <v>208.77099999999999</v>
      </c>
      <c r="BJ81" s="89">
        <f>DRE_TRI!AH26/1000</f>
        <v>400.53199999999998</v>
      </c>
      <c r="BK81" s="89">
        <f>DRE_TRI!AI26/1000</f>
        <v>365.39699999999999</v>
      </c>
      <c r="BL81" s="89">
        <f>DRE_TRI!AJ26/1000</f>
        <v>365.96100000000001</v>
      </c>
      <c r="BM81" s="89">
        <f>DRE_TRI!AL26/1000</f>
        <v>164.721</v>
      </c>
      <c r="BN81" s="89">
        <f>DRE_TRI!AM26/1000</f>
        <v>330.15300000000002</v>
      </c>
      <c r="BO81" s="89">
        <f>DRE_TRI!AN26/1000</f>
        <v>33.997</v>
      </c>
      <c r="BP81" s="89">
        <f>DRE_TRI!AO26/1000</f>
        <v>129.505</v>
      </c>
      <c r="BQ81" s="89">
        <f>DRE_TRI!AQ26/1000</f>
        <v>138.71299999999999</v>
      </c>
      <c r="BR81" s="89">
        <f>DRE_TRI!AR26/1000</f>
        <v>204.596</v>
      </c>
    </row>
    <row r="82" spans="1:70" x14ac:dyDescent="0.25">
      <c r="A82" s="85" t="s">
        <v>197</v>
      </c>
      <c r="B82" s="79">
        <f t="shared" ref="B82:O82" si="302">B81/B20</f>
        <v>0.10244208784980879</v>
      </c>
      <c r="C82" s="79">
        <f t="shared" si="302"/>
        <v>7.4356367507240423E-2</v>
      </c>
      <c r="D82" s="79">
        <f t="shared" si="302"/>
        <v>6.3197854699830983E-2</v>
      </c>
      <c r="E82" s="79">
        <f t="shared" si="302"/>
        <v>9.7202448048734222E-2</v>
      </c>
      <c r="F82" s="79">
        <f t="shared" si="302"/>
        <v>9.346273540096503E-2</v>
      </c>
      <c r="G82" s="79">
        <f t="shared" si="302"/>
        <v>7.0491938440595675E-2</v>
      </c>
      <c r="H82" s="79">
        <f t="shared" si="302"/>
        <v>6.3922913694787045E-2</v>
      </c>
      <c r="I82" s="79">
        <f t="shared" si="302"/>
        <v>9.9355163558125945E-2</v>
      </c>
      <c r="J82" s="79">
        <f t="shared" si="302"/>
        <v>8.4661303437131491E-2</v>
      </c>
      <c r="K82" s="79">
        <f t="shared" si="302"/>
        <v>0.13420650495839651</v>
      </c>
      <c r="L82" s="79">
        <f t="shared" si="302"/>
        <v>7.1368302886524571E-2</v>
      </c>
      <c r="M82" s="79">
        <f t="shared" si="302"/>
        <v>8.3562362104629986E-2</v>
      </c>
      <c r="N82" s="79">
        <f t="shared" si="302"/>
        <v>5.5482591254424285E-2</v>
      </c>
      <c r="O82" s="79">
        <f t="shared" si="302"/>
        <v>0.10452868431360415</v>
      </c>
      <c r="P82" s="79">
        <f>P81/P20</f>
        <v>4.0086962006935761E-2</v>
      </c>
      <c r="R82" s="79">
        <f t="shared" ref="R82:Y82" si="303">R81/R20</f>
        <v>9.5972500461549676E-2</v>
      </c>
      <c r="S82" s="79">
        <f t="shared" si="303"/>
        <v>4.957734344057723E-2</v>
      </c>
      <c r="T82" s="79">
        <f t="shared" si="303"/>
        <v>0.11639708565233321</v>
      </c>
      <c r="U82" s="79">
        <f t="shared" si="303"/>
        <v>8.0316440967788436E-2</v>
      </c>
      <c r="V82" s="79">
        <f t="shared" si="303"/>
        <v>7.1382899784271231E-2</v>
      </c>
      <c r="W82" s="79">
        <f t="shared" si="303"/>
        <v>5.9248721107155462E-2</v>
      </c>
      <c r="X82" s="79">
        <f t="shared" si="303"/>
        <v>0.10863494185856641</v>
      </c>
      <c r="Y82" s="79">
        <f t="shared" si="303"/>
        <v>4.3864722795721983E-2</v>
      </c>
      <c r="AA82" s="79">
        <f t="shared" ref="AA82:AI82" si="304">AA81/AA20</f>
        <v>0.11028530555135382</v>
      </c>
      <c r="AB82" s="79">
        <f t="shared" si="304"/>
        <v>3.5828680181382362E-2</v>
      </c>
      <c r="AC82" s="79">
        <f t="shared" si="304"/>
        <v>9.0224214649183079E-2</v>
      </c>
      <c r="AD82" s="79">
        <f t="shared" si="304"/>
        <v>9.017888206181035E-2</v>
      </c>
      <c r="AE82" s="79">
        <f t="shared" si="304"/>
        <v>7.8408922683756307E-2</v>
      </c>
      <c r="AF82" s="79">
        <f t="shared" si="304"/>
        <v>4.9365583979585813E-2</v>
      </c>
      <c r="AG82" s="79">
        <f t="shared" si="304"/>
        <v>0.11127416755550422</v>
      </c>
      <c r="AH82" s="79">
        <f t="shared" si="304"/>
        <v>7.0075764171145333E-2</v>
      </c>
      <c r="AI82" s="79">
        <f t="shared" si="304"/>
        <v>3.8542225727232343E-2</v>
      </c>
      <c r="AK82" s="79">
        <f t="shared" ref="AK82:BP82" si="305">AK81/AK20</f>
        <v>9.6899537538246122E-2</v>
      </c>
      <c r="AL82" s="79">
        <f t="shared" si="305"/>
        <v>0.11983212632703823</v>
      </c>
      <c r="AM82" s="79">
        <f t="shared" si="305"/>
        <v>7.4273144486916479E-2</v>
      </c>
      <c r="AN82" s="79">
        <f t="shared" si="305"/>
        <v>0.10703576278150354</v>
      </c>
      <c r="AO82" s="79">
        <f t="shared" si="305"/>
        <v>3.9765416358595936E-2</v>
      </c>
      <c r="AP82" s="79">
        <f t="shared" si="305"/>
        <v>3.2378633055283594E-2</v>
      </c>
      <c r="AQ82" s="79">
        <f t="shared" si="305"/>
        <v>7.1875515577594862E-2</v>
      </c>
      <c r="AR82" s="79">
        <f t="shared" si="305"/>
        <v>0.16403139908945152</v>
      </c>
      <c r="AS82" s="79">
        <f t="shared" si="305"/>
        <v>6.7188910707572033E-2</v>
      </c>
      <c r="AT82" s="79">
        <f t="shared" si="305"/>
        <v>0.10621012686557213</v>
      </c>
      <c r="AU82" s="79">
        <f t="shared" si="305"/>
        <v>0.15510953727572599</v>
      </c>
      <c r="AV82" s="79">
        <f t="shared" si="305"/>
        <v>0.17134958424790478</v>
      </c>
      <c r="AW82" s="79">
        <f t="shared" si="305"/>
        <v>7.2448922554151765E-2</v>
      </c>
      <c r="AX82" s="79">
        <f t="shared" si="305"/>
        <v>0.10149413462974331</v>
      </c>
      <c r="AY82" s="79">
        <f t="shared" si="305"/>
        <v>6.9056312498373851E-2</v>
      </c>
      <c r="AZ82" s="79">
        <f t="shared" si="305"/>
        <v>5.1097195305222713E-2</v>
      </c>
      <c r="BA82" s="79">
        <f t="shared" si="305"/>
        <v>4.2851476750167879E-2</v>
      </c>
      <c r="BB82" s="79">
        <f t="shared" si="305"/>
        <v>0.10864527064399469</v>
      </c>
      <c r="BC82" s="79">
        <f t="shared" si="305"/>
        <v>5.5637044344003198E-2</v>
      </c>
      <c r="BD82" s="79">
        <f t="shared" si="305"/>
        <v>0.11555150763614543</v>
      </c>
      <c r="BE82" s="79">
        <f t="shared" si="305"/>
        <v>6.787013146723854E-2</v>
      </c>
      <c r="BF82" s="79">
        <f t="shared" si="305"/>
        <v>3.0394969869086567E-2</v>
      </c>
      <c r="BG82" s="79">
        <f t="shared" si="305"/>
        <v>7.3903021801412214E-2</v>
      </c>
      <c r="BH82" s="79">
        <f t="shared" si="305"/>
        <v>4.8061945593429731E-2</v>
      </c>
      <c r="BI82" s="79">
        <f t="shared" si="305"/>
        <v>7.7922236552186594E-2</v>
      </c>
      <c r="BJ82" s="79">
        <f t="shared" si="305"/>
        <v>0.14322776329721515</v>
      </c>
      <c r="BK82" s="79">
        <f t="shared" si="305"/>
        <v>0.10450185515075486</v>
      </c>
      <c r="BL82" s="79">
        <f t="shared" si="305"/>
        <v>9.4967977545918375E-2</v>
      </c>
      <c r="BM82" s="79">
        <f t="shared" si="305"/>
        <v>4.707513951212116E-2</v>
      </c>
      <c r="BN82" s="79">
        <f t="shared" si="305"/>
        <v>9.2664719929463665E-2</v>
      </c>
      <c r="BO82" s="79">
        <f t="shared" si="305"/>
        <v>6.8063710852655276E-3</v>
      </c>
      <c r="BP82" s="79">
        <f t="shared" si="305"/>
        <v>2.9656524297946105E-2</v>
      </c>
      <c r="BQ82" s="79">
        <f t="shared" ref="BQ82:BR82" si="306">BQ81/BQ20</f>
        <v>3.297235758128355E-2</v>
      </c>
      <c r="BR82" s="79">
        <f t="shared" si="306"/>
        <v>4.3527365263901677E-2</v>
      </c>
    </row>
    <row r="83" spans="1:70" x14ac:dyDescent="0.25">
      <c r="A83" s="85"/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R83" s="79"/>
      <c r="S83" s="79"/>
      <c r="T83" s="79"/>
      <c r="U83" s="79"/>
      <c r="V83" s="79"/>
      <c r="W83" s="79"/>
      <c r="X83" s="79"/>
      <c r="Y83" s="79"/>
      <c r="AA83" s="79"/>
      <c r="AB83" s="79"/>
      <c r="AC83" s="79"/>
      <c r="AD83" s="79"/>
      <c r="AE83" s="79"/>
      <c r="AF83" s="79"/>
      <c r="AG83" s="79"/>
      <c r="AH83" s="79"/>
      <c r="AI83" s="79"/>
      <c r="AK83" s="79"/>
      <c r="AL83" s="79"/>
      <c r="AM83" s="79"/>
      <c r="AN83" s="79"/>
      <c r="AO83" s="79"/>
      <c r="AP83" s="79"/>
      <c r="AQ83" s="79"/>
      <c r="AR83" s="79"/>
      <c r="AS83" s="79"/>
      <c r="AT83" s="79"/>
      <c r="AU83" s="79"/>
      <c r="AV83" s="79"/>
      <c r="AW83" s="79"/>
      <c r="AX83" s="79"/>
      <c r="AY83" s="79"/>
      <c r="AZ83" s="79"/>
      <c r="BA83" s="79"/>
      <c r="BB83" s="79"/>
      <c r="BC83" s="79"/>
      <c r="BD83" s="79"/>
      <c r="BE83" s="79"/>
      <c r="BF83" s="79"/>
      <c r="BG83" s="79"/>
      <c r="BH83" s="79"/>
      <c r="BI83" s="79"/>
      <c r="BJ83" s="79"/>
      <c r="BK83" s="79"/>
      <c r="BL83" s="79"/>
      <c r="BM83" s="79"/>
      <c r="BN83" s="79"/>
    </row>
    <row r="84" spans="1:70" x14ac:dyDescent="0.25">
      <c r="A84" s="66" t="s">
        <v>215</v>
      </c>
      <c r="B84" s="70">
        <f>DRE_ACM!C29/1000</f>
        <v>34.978999999999999</v>
      </c>
      <c r="C84" s="70">
        <f>DRE_ACM!D29/1000</f>
        <v>38.944000000000003</v>
      </c>
      <c r="D84" s="70">
        <f>DRE_ACM!E29/1000</f>
        <v>52.04</v>
      </c>
      <c r="E84" s="70">
        <f>DRE_ACM!F29/1000</f>
        <v>97.822000000000003</v>
      </c>
      <c r="F84" s="70">
        <f>DRE_ACM!G29/1000</f>
        <v>111.71599999999999</v>
      </c>
      <c r="G84" s="70">
        <f>DRE_ACM!H29/1000</f>
        <v>94.334000000000003</v>
      </c>
      <c r="H84" s="70">
        <f>DRE_ACM!I29/1000</f>
        <v>76.78</v>
      </c>
      <c r="I84" s="89">
        <f>SUM(AK84:AN84)</f>
        <v>223.453</v>
      </c>
      <c r="J84" s="89">
        <f>SUM(AO84:AR84)</f>
        <v>189.934</v>
      </c>
      <c r="K84" s="89">
        <f>SUM(AS84:AV84)</f>
        <v>401.61400000000003</v>
      </c>
      <c r="L84" s="89">
        <f>SUM(AW84:AZ84)</f>
        <v>494.92899999999997</v>
      </c>
      <c r="M84" s="89">
        <f>SUM(BA84:BD84)</f>
        <v>623.09699999999998</v>
      </c>
      <c r="N84" s="70">
        <f>SUM(BE84:BH84)</f>
        <v>483.41499999999996</v>
      </c>
      <c r="O84" s="114">
        <f t="shared" ref="O84" si="307">SUM(BI84:BL84)</f>
        <v>973.59791244000019</v>
      </c>
      <c r="P84" s="114">
        <f>SUM(BM84:BP84)</f>
        <v>718.83600000000001</v>
      </c>
      <c r="Q84" s="86"/>
      <c r="R84" s="89">
        <f>SUM(AK84:AM84)</f>
        <v>128.03100000000001</v>
      </c>
      <c r="S84" s="89">
        <f>SUM(AO84:AQ84)</f>
        <v>76.997</v>
      </c>
      <c r="T84" s="89">
        <f>SUM(AS84:AU84)</f>
        <v>216.673</v>
      </c>
      <c r="U84" s="89">
        <f>SUM(AW84:AY84)</f>
        <v>317.65499999999997</v>
      </c>
      <c r="V84" s="89">
        <f>SUM(BA84:BC84)</f>
        <v>328.38003977999995</v>
      </c>
      <c r="W84" s="89">
        <f>SUM(BE84:BG84)</f>
        <v>267.92899999999997</v>
      </c>
      <c r="X84" s="89">
        <f>SUM(BI84:BK84)</f>
        <v>563.28600000000006</v>
      </c>
      <c r="Y84" s="89">
        <f>SUM(BM84:BO84)</f>
        <v>637.54100000000005</v>
      </c>
      <c r="Z84" s="86"/>
      <c r="AA84" s="89">
        <f>SUM(AK84:AL84)</f>
        <v>88.65100000000001</v>
      </c>
      <c r="AB84" s="89">
        <f>SUM(AO84:AP84)</f>
        <v>30.957000000000001</v>
      </c>
      <c r="AC84" s="89">
        <f>SUM(AS84:AT84)</f>
        <v>100.113</v>
      </c>
      <c r="AD84" s="89">
        <f>SUM(AW84:AX84)</f>
        <v>170.09800000000001</v>
      </c>
      <c r="AE84" s="89">
        <f>SUM(BA84:BB84)</f>
        <v>193.20492618999998</v>
      </c>
      <c r="AF84" s="89">
        <f>SUM(BE84:BF84)</f>
        <v>151.58199999999999</v>
      </c>
      <c r="AG84" s="70">
        <f>SUM(BI84:BJ84)</f>
        <v>221.25700000000001</v>
      </c>
      <c r="AH84" s="70">
        <f>SUM(BM84:BN84)</f>
        <v>471.25700000000006</v>
      </c>
      <c r="AI84" s="70">
        <f>SUM(BQ84:BR84)</f>
        <v>234.70299999999997</v>
      </c>
      <c r="AK84" s="89">
        <f>DRE_TRI!C28/1000</f>
        <v>32.426000000000002</v>
      </c>
      <c r="AL84" s="89">
        <f>DRE_TRI!D28/1000</f>
        <v>56.225000000000001</v>
      </c>
      <c r="AM84" s="89">
        <f>DRE_TRI!E28/1000</f>
        <v>39.380000000000003</v>
      </c>
      <c r="AN84" s="89">
        <f>DRE_TRI!F28/1000</f>
        <v>95.421999999999997</v>
      </c>
      <c r="AO84" s="89">
        <f>DRE_TRI!H28/1000</f>
        <v>19.292999999999999</v>
      </c>
      <c r="AP84" s="89">
        <f>DRE_TRI!I28/1000</f>
        <v>11.664</v>
      </c>
      <c r="AQ84" s="89">
        <f>DRE_TRI!J28/1000</f>
        <v>46.04</v>
      </c>
      <c r="AR84" s="89">
        <f>DRE_TRI!K28/1000</f>
        <v>112.937</v>
      </c>
      <c r="AS84" s="89">
        <f>DRE_TRI!M28/1000</f>
        <v>42.951999999999998</v>
      </c>
      <c r="AT84" s="89">
        <f>DRE_TRI!N28/1000</f>
        <v>57.161000000000001</v>
      </c>
      <c r="AU84" s="89">
        <f>DRE_TRI!O28/1000</f>
        <v>116.56</v>
      </c>
      <c r="AV84" s="89">
        <f>DRE_TRI!P28/1000</f>
        <v>184.941</v>
      </c>
      <c r="AW84" s="89">
        <f>DRE_TRI!R28/1000</f>
        <v>70.385999999999996</v>
      </c>
      <c r="AX84" s="89">
        <f>DRE_TRI!S28/1000</f>
        <v>99.712000000000003</v>
      </c>
      <c r="AY84" s="89">
        <f>DRE_TRI!T28/1000</f>
        <v>147.55699999999999</v>
      </c>
      <c r="AZ84" s="89">
        <f>DRE_TRI!U28/1000</f>
        <v>177.274</v>
      </c>
      <c r="BA84" s="89">
        <f>DRE_TRI!W28/1000</f>
        <v>96.119</v>
      </c>
      <c r="BB84" s="89">
        <f>DRE_TRI!X28/1000</f>
        <v>97.085926189999995</v>
      </c>
      <c r="BC84" s="89">
        <f>DRE_TRI!Y28/1000</f>
        <v>135.17511358999994</v>
      </c>
      <c r="BD84" s="89">
        <f>DRE_TRI!Z28/1000</f>
        <v>294.71696022000009</v>
      </c>
      <c r="BE84" s="89">
        <f>DRE_TRI!AB28/1000</f>
        <v>107.73017647839951</v>
      </c>
      <c r="BF84" s="89">
        <f>DRE_TRI!AC28/1000</f>
        <v>43.85182352160048</v>
      </c>
      <c r="BG84" s="89">
        <f>DRE_TRI!AD28/1000</f>
        <v>116.34699999999999</v>
      </c>
      <c r="BH84" s="89">
        <f>DRE_TRI!AE28/1000</f>
        <v>215.48599999999999</v>
      </c>
      <c r="BI84" s="89">
        <f>DRE_TRI!AG28/1000</f>
        <v>137.851</v>
      </c>
      <c r="BJ84" s="89">
        <f>DRE_TRI!AH28/1000</f>
        <v>83.406000000000006</v>
      </c>
      <c r="BK84" s="89">
        <f>DRE_TRI!AI28/1000</f>
        <v>342.029</v>
      </c>
      <c r="BL84" s="89">
        <f>DRE_TRI!AJ28/1000</f>
        <v>410.31191244000013</v>
      </c>
      <c r="BM84" s="89">
        <f>DRE_TRI!AL28/1000</f>
        <v>288.86987531</v>
      </c>
      <c r="BN84" s="89">
        <f>DRE_TRI!AM28/1000</f>
        <v>182.38712469000004</v>
      </c>
      <c r="BO84" s="89">
        <f>DRE_TRI!AN28/1000</f>
        <v>166.28399999999999</v>
      </c>
      <c r="BP84" s="89">
        <f>DRE_TRI!AO28/1000</f>
        <v>81.295000000000002</v>
      </c>
      <c r="BQ84" s="89">
        <f>DRE_TRI!AQ28/1000</f>
        <v>295.83699999999999</v>
      </c>
      <c r="BR84" s="89">
        <f>DRE_TRI!AR28/1000</f>
        <v>-61.134</v>
      </c>
    </row>
    <row r="85" spans="1:70" x14ac:dyDescent="0.25">
      <c r="A85" s="85" t="s">
        <v>216</v>
      </c>
      <c r="B85" s="79">
        <f t="shared" ref="B85:O85" si="308">B84/B20</f>
        <v>8.9297293433474423E-2</v>
      </c>
      <c r="C85" s="79">
        <f t="shared" si="308"/>
        <v>8.096785527910666E-2</v>
      </c>
      <c r="D85" s="79">
        <f t="shared" si="308"/>
        <v>5.7713720427817923E-2</v>
      </c>
      <c r="E85" s="79">
        <f t="shared" si="308"/>
        <v>0.10664099718522363</v>
      </c>
      <c r="F85" s="79">
        <f t="shared" si="308"/>
        <v>0.10030725359106001</v>
      </c>
      <c r="G85" s="79">
        <f t="shared" si="308"/>
        <v>8.2741719600526981E-2</v>
      </c>
      <c r="H85" s="79">
        <f t="shared" si="308"/>
        <v>5.789922274308406E-2</v>
      </c>
      <c r="I85" s="79">
        <f t="shared" si="308"/>
        <v>0.11628662233290687</v>
      </c>
      <c r="J85" s="79">
        <f t="shared" si="308"/>
        <v>8.4808206571705028E-2</v>
      </c>
      <c r="K85" s="79">
        <f t="shared" si="308"/>
        <v>0.12911939114731433</v>
      </c>
      <c r="L85" s="79">
        <f t="shared" si="308"/>
        <v>9.2695187554977757E-2</v>
      </c>
      <c r="M85" s="79">
        <f t="shared" si="308"/>
        <v>9.0489622191823424E-2</v>
      </c>
      <c r="N85" s="79">
        <f t="shared" si="308"/>
        <v>5.3718836763740119E-2</v>
      </c>
      <c r="O85" s="79">
        <f t="shared" si="308"/>
        <v>7.5909501982846364E-2</v>
      </c>
      <c r="P85" s="79">
        <f>P84/P20</f>
        <v>4.3768228825500438E-2</v>
      </c>
      <c r="R85" s="79">
        <f t="shared" ref="R85:Y85" si="309">R84/R20</f>
        <v>9.5972500461549676E-2</v>
      </c>
      <c r="S85" s="79">
        <f t="shared" si="309"/>
        <v>4.957734344057723E-2</v>
      </c>
      <c r="T85" s="79">
        <f t="shared" si="309"/>
        <v>0.10306161906406382</v>
      </c>
      <c r="U85" s="79">
        <f t="shared" si="309"/>
        <v>8.575540508363752E-2</v>
      </c>
      <c r="V85" s="79">
        <f t="shared" si="309"/>
        <v>7.1854895181427236E-2</v>
      </c>
      <c r="W85" s="79">
        <f t="shared" si="309"/>
        <v>4.4883780483203857E-2</v>
      </c>
      <c r="X85" s="79">
        <f t="shared" si="309"/>
        <v>6.2780898594177126E-2</v>
      </c>
      <c r="Y85" s="79">
        <f t="shared" si="309"/>
        <v>5.2877845894192331E-2</v>
      </c>
      <c r="AA85" s="79">
        <f t="shared" ref="AA85:AI85" si="310">AA84/AA20</f>
        <v>0.11028530555135382</v>
      </c>
      <c r="AB85" s="79">
        <f t="shared" si="310"/>
        <v>3.2223016541502392E-2</v>
      </c>
      <c r="AC85" s="79">
        <f t="shared" si="310"/>
        <v>7.9813881658496136E-2</v>
      </c>
      <c r="AD85" s="79">
        <f t="shared" si="310"/>
        <v>8.6140704214867109E-2</v>
      </c>
      <c r="AE85" s="79">
        <f t="shared" si="310"/>
        <v>6.9735518065372246E-2</v>
      </c>
      <c r="AF85" s="79">
        <f t="shared" si="310"/>
        <v>4.2518844434053876E-2</v>
      </c>
      <c r="AG85" s="79">
        <f t="shared" si="310"/>
        <v>4.0407134858729064E-2</v>
      </c>
      <c r="AH85" s="79">
        <f t="shared" si="310"/>
        <v>6.6731520338513317E-2</v>
      </c>
      <c r="AI85" s="79">
        <f t="shared" si="310"/>
        <v>2.6349370406422819E-2</v>
      </c>
      <c r="AK85" s="79">
        <f t="shared" ref="AK85:BP85" si="311">AK84/AK20</f>
        <v>9.6899537538246122E-2</v>
      </c>
      <c r="AL85" s="79">
        <f t="shared" si="311"/>
        <v>0.11983212632703823</v>
      </c>
      <c r="AM85" s="79">
        <f t="shared" si="311"/>
        <v>7.4273144486916479E-2</v>
      </c>
      <c r="AN85" s="79">
        <f t="shared" si="311"/>
        <v>0.16241141342625073</v>
      </c>
      <c r="AO85" s="79">
        <f t="shared" si="311"/>
        <v>4.299692752375673E-2</v>
      </c>
      <c r="AP85" s="79">
        <f t="shared" si="311"/>
        <v>2.2781057784824938E-2</v>
      </c>
      <c r="AQ85" s="79">
        <f t="shared" si="311"/>
        <v>7.7723335616132733E-2</v>
      </c>
      <c r="AR85" s="79">
        <f t="shared" si="311"/>
        <v>0.16451063973221605</v>
      </c>
      <c r="AS85" s="79">
        <f t="shared" si="311"/>
        <v>8.358622755927804E-2</v>
      </c>
      <c r="AT85" s="79">
        <f t="shared" si="311"/>
        <v>7.7195970014151807E-2</v>
      </c>
      <c r="AU85" s="79">
        <f t="shared" si="311"/>
        <v>0.13744748791116346</v>
      </c>
      <c r="AV85" s="79">
        <f t="shared" si="311"/>
        <v>0.18346512123333655</v>
      </c>
      <c r="AW85" s="79">
        <f t="shared" si="311"/>
        <v>9.1496776826952189E-2</v>
      </c>
      <c r="AX85" s="79">
        <f t="shared" si="311"/>
        <v>8.2722460966666106E-2</v>
      </c>
      <c r="AY85" s="79">
        <f t="shared" si="311"/>
        <v>8.531550205400841E-2</v>
      </c>
      <c r="AZ85" s="79">
        <f t="shared" si="311"/>
        <v>0.108416567331395</v>
      </c>
      <c r="BA85" s="79">
        <f t="shared" si="311"/>
        <v>7.5491955530597246E-2</v>
      </c>
      <c r="BB85" s="79">
        <f t="shared" si="311"/>
        <v>6.4840519517529963E-2</v>
      </c>
      <c r="BC85" s="79">
        <f t="shared" si="311"/>
        <v>6.9005199615909202E-2</v>
      </c>
      <c r="BD85" s="79">
        <f t="shared" si="311"/>
        <v>0.13667151901628141</v>
      </c>
      <c r="BE85" s="79">
        <f t="shared" si="311"/>
        <v>5.9694362085580904E-2</v>
      </c>
      <c r="BF85" s="79">
        <f t="shared" si="311"/>
        <v>2.4910733901623967E-2</v>
      </c>
      <c r="BG85" s="79">
        <f t="shared" si="311"/>
        <v>4.8390408342312966E-2</v>
      </c>
      <c r="BH85" s="79">
        <f t="shared" si="311"/>
        <v>7.112711120368248E-2</v>
      </c>
      <c r="BI85" s="79">
        <f t="shared" si="311"/>
        <v>5.1451869421306001E-2</v>
      </c>
      <c r="BJ85" s="79">
        <f t="shared" si="311"/>
        <v>2.9825469189896259E-2</v>
      </c>
      <c r="BK85" s="79">
        <f t="shared" si="311"/>
        <v>9.78187150287428E-2</v>
      </c>
      <c r="BL85" s="79">
        <f t="shared" si="311"/>
        <v>0.10647717239657983</v>
      </c>
      <c r="BM85" s="79">
        <f t="shared" si="311"/>
        <v>8.2555288524640405E-2</v>
      </c>
      <c r="BN85" s="79">
        <f t="shared" si="311"/>
        <v>5.1190968515018857E-2</v>
      </c>
      <c r="BO85" s="79">
        <f t="shared" si="311"/>
        <v>3.3290896536232399E-2</v>
      </c>
      <c r="BP85" s="79">
        <f t="shared" si="311"/>
        <v>1.8616479230929531E-2</v>
      </c>
      <c r="BQ85" s="79">
        <f t="shared" ref="BQ85:BR85" si="312">BQ84/BQ20</f>
        <v>7.0321046691904726E-2</v>
      </c>
      <c r="BR85" s="79">
        <f t="shared" si="312"/>
        <v>-1.3006128898137622E-2</v>
      </c>
    </row>
    <row r="86" spans="1:70" x14ac:dyDescent="0.25">
      <c r="A86" s="85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R86" s="79"/>
      <c r="S86" s="79"/>
      <c r="T86" s="79"/>
      <c r="U86" s="79"/>
      <c r="V86" s="79"/>
      <c r="W86" s="79"/>
      <c r="X86" s="79"/>
      <c r="Y86" s="79"/>
      <c r="AA86" s="79"/>
      <c r="AB86" s="79"/>
      <c r="AC86" s="79"/>
      <c r="AD86" s="79"/>
      <c r="AE86" s="79"/>
      <c r="AF86" s="79"/>
      <c r="AG86" s="79"/>
      <c r="AH86" s="79"/>
      <c r="AI86" s="79"/>
      <c r="AK86" s="79"/>
      <c r="AL86" s="79"/>
      <c r="AM86" s="79"/>
      <c r="AN86" s="79"/>
      <c r="AO86" s="79"/>
      <c r="AP86" s="79"/>
      <c r="AQ86" s="79"/>
      <c r="AR86" s="79"/>
      <c r="AS86" s="79"/>
      <c r="AT86" s="79"/>
      <c r="AU86" s="79"/>
      <c r="AV86" s="79"/>
      <c r="AW86" s="79"/>
      <c r="AX86" s="79"/>
      <c r="AY86" s="79"/>
      <c r="AZ86" s="79"/>
      <c r="BA86" s="79"/>
      <c r="BB86" s="79"/>
      <c r="BC86" s="79"/>
      <c r="BD86" s="79"/>
      <c r="BE86" s="79"/>
      <c r="BF86" s="79"/>
      <c r="BG86" s="79"/>
      <c r="BH86" s="79"/>
      <c r="BI86" s="79"/>
      <c r="BJ86" s="79"/>
      <c r="BK86" s="79"/>
      <c r="BL86" s="79"/>
      <c r="BM86" s="79"/>
      <c r="BN86" s="79"/>
      <c r="BO86" s="79"/>
      <c r="BP86" s="79"/>
      <c r="BQ86" s="79"/>
    </row>
    <row r="87" spans="1:70" x14ac:dyDescent="0.25">
      <c r="A87" s="66" t="s">
        <v>335</v>
      </c>
      <c r="B87" s="70">
        <f t="shared" ref="B87:M87" si="313">B84+B65</f>
        <v>34.978999999999999</v>
      </c>
      <c r="C87" s="70">
        <f t="shared" si="313"/>
        <v>38.944000000000003</v>
      </c>
      <c r="D87" s="70">
        <f t="shared" si="313"/>
        <v>52.04</v>
      </c>
      <c r="E87" s="70">
        <f t="shared" si="313"/>
        <v>97.822000000000003</v>
      </c>
      <c r="F87" s="70">
        <f t="shared" si="313"/>
        <v>111.71599999999999</v>
      </c>
      <c r="G87" s="70">
        <f t="shared" si="313"/>
        <v>94.334000000000003</v>
      </c>
      <c r="H87" s="70">
        <f t="shared" si="313"/>
        <v>76.78</v>
      </c>
      <c r="I87" s="70">
        <f t="shared" si="313"/>
        <v>223.453</v>
      </c>
      <c r="J87" s="70">
        <f t="shared" si="313"/>
        <v>189.934</v>
      </c>
      <c r="K87" s="70">
        <f t="shared" si="313"/>
        <v>401.61400000000003</v>
      </c>
      <c r="L87" s="70">
        <f t="shared" si="313"/>
        <v>494.92899999999997</v>
      </c>
      <c r="M87" s="70">
        <f t="shared" si="313"/>
        <v>623.09699999999998</v>
      </c>
      <c r="N87" s="70">
        <f t="shared" ref="N87:Y87" si="314">N84+N65</f>
        <v>473.29699999999997</v>
      </c>
      <c r="O87" s="70">
        <f t="shared" si="314"/>
        <v>1001.9899124400002</v>
      </c>
      <c r="P87" s="70">
        <f>P84+P65</f>
        <v>1024.6559999999999</v>
      </c>
      <c r="Q87" s="86"/>
      <c r="R87" s="89">
        <v>0</v>
      </c>
      <c r="S87" s="89">
        <v>0</v>
      </c>
      <c r="T87" s="89">
        <v>0</v>
      </c>
      <c r="U87" s="89">
        <v>0</v>
      </c>
      <c r="V87" s="89">
        <v>0</v>
      </c>
      <c r="W87" s="70">
        <f t="shared" si="314"/>
        <v>267.92899999999997</v>
      </c>
      <c r="X87" s="70">
        <f t="shared" si="314"/>
        <v>599.64800000000002</v>
      </c>
      <c r="Y87" s="70">
        <f t="shared" si="314"/>
        <v>787.98400000000004</v>
      </c>
      <c r="Z87" s="86"/>
      <c r="AA87" s="89">
        <v>0</v>
      </c>
      <c r="AB87" s="89">
        <v>0</v>
      </c>
      <c r="AC87" s="89">
        <v>0</v>
      </c>
      <c r="AD87" s="89">
        <v>0</v>
      </c>
      <c r="AE87" s="89">
        <v>0</v>
      </c>
      <c r="AF87" s="70">
        <f t="shared" ref="AF87:AG87" si="315">AF84+AF65</f>
        <v>151.58199999999999</v>
      </c>
      <c r="AG87" s="70">
        <f t="shared" si="315"/>
        <v>243.48400000000001</v>
      </c>
      <c r="AH87" s="70">
        <f>AH84+AH65</f>
        <v>419.12500000000006</v>
      </c>
      <c r="AI87" s="70">
        <f>AI84+AI65</f>
        <v>472.93299999999999</v>
      </c>
      <c r="AK87" s="89">
        <v>0</v>
      </c>
      <c r="AL87" s="89">
        <v>0</v>
      </c>
      <c r="AM87" s="89">
        <v>0</v>
      </c>
      <c r="AN87" s="89">
        <v>0</v>
      </c>
      <c r="AO87" s="89">
        <v>0</v>
      </c>
      <c r="AP87" s="89">
        <v>0</v>
      </c>
      <c r="AQ87" s="89">
        <v>0</v>
      </c>
      <c r="AR87" s="89">
        <v>0</v>
      </c>
      <c r="AS87" s="89">
        <v>0</v>
      </c>
      <c r="AT87" s="89">
        <v>0</v>
      </c>
      <c r="AU87" s="89">
        <v>0</v>
      </c>
      <c r="AV87" s="89">
        <v>0</v>
      </c>
      <c r="AW87" s="89">
        <v>0</v>
      </c>
      <c r="AX87" s="89">
        <v>0</v>
      </c>
      <c r="AY87" s="89">
        <v>0</v>
      </c>
      <c r="AZ87" s="89">
        <v>0</v>
      </c>
      <c r="BA87" s="89">
        <v>0</v>
      </c>
      <c r="BB87" s="89">
        <v>0</v>
      </c>
      <c r="BC87" s="89">
        <v>0</v>
      </c>
      <c r="BD87" s="89">
        <v>0</v>
      </c>
      <c r="BE87" s="70">
        <f t="shared" ref="BE87:BH87" si="316">BE84+BE65</f>
        <v>107.73017647839951</v>
      </c>
      <c r="BF87" s="70">
        <f t="shared" si="316"/>
        <v>43.85182352160048</v>
      </c>
      <c r="BG87" s="70">
        <f t="shared" si="316"/>
        <v>116.34699999999999</v>
      </c>
      <c r="BH87" s="70">
        <f t="shared" si="316"/>
        <v>215.48599999999999</v>
      </c>
      <c r="BI87" s="70">
        <f t="shared" ref="BI87:BP87" si="317">BI84+BI65</f>
        <v>167.72300000000001</v>
      </c>
      <c r="BJ87" s="70">
        <f t="shared" si="317"/>
        <v>75.76100000000001</v>
      </c>
      <c r="BK87" s="70">
        <f t="shared" si="317"/>
        <v>356.16399999999999</v>
      </c>
      <c r="BL87" s="70">
        <f t="shared" si="317"/>
        <v>402.3419124400001</v>
      </c>
      <c r="BM87" s="70">
        <f t="shared" si="317"/>
        <v>198.60387530999998</v>
      </c>
      <c r="BN87" s="70">
        <f t="shared" si="317"/>
        <v>220.52112469000002</v>
      </c>
      <c r="BO87" s="70">
        <f t="shared" si="317"/>
        <v>368.85899999999998</v>
      </c>
      <c r="BP87" s="70">
        <f t="shared" si="317"/>
        <v>236.67200000000003</v>
      </c>
      <c r="BQ87" s="70">
        <f t="shared" ref="BQ87:BR87" si="318">BQ84+BQ65</f>
        <v>394.255</v>
      </c>
      <c r="BR87" s="70">
        <f t="shared" si="318"/>
        <v>78.678000000000011</v>
      </c>
    </row>
    <row r="88" spans="1:70" x14ac:dyDescent="0.25">
      <c r="A88" s="85" t="s">
        <v>336</v>
      </c>
      <c r="B88" s="79">
        <f t="shared" ref="B88:M88" si="319">B87/B20</f>
        <v>8.9297293433474423E-2</v>
      </c>
      <c r="C88" s="79">
        <f t="shared" si="319"/>
        <v>8.096785527910666E-2</v>
      </c>
      <c r="D88" s="79">
        <f t="shared" si="319"/>
        <v>5.7713720427817923E-2</v>
      </c>
      <c r="E88" s="79">
        <f t="shared" si="319"/>
        <v>0.10664099718522363</v>
      </c>
      <c r="F88" s="79">
        <f t="shared" si="319"/>
        <v>0.10030725359106001</v>
      </c>
      <c r="G88" s="79">
        <f t="shared" si="319"/>
        <v>8.2741719600526981E-2</v>
      </c>
      <c r="H88" s="79">
        <f t="shared" si="319"/>
        <v>5.789922274308406E-2</v>
      </c>
      <c r="I88" s="79">
        <f t="shared" si="319"/>
        <v>0.11628662233290687</v>
      </c>
      <c r="J88" s="79">
        <f t="shared" si="319"/>
        <v>8.4808206571705028E-2</v>
      </c>
      <c r="K88" s="79">
        <f t="shared" si="319"/>
        <v>0.12911939114731433</v>
      </c>
      <c r="L88" s="79">
        <f t="shared" si="319"/>
        <v>9.2695187554977757E-2</v>
      </c>
      <c r="M88" s="79">
        <f t="shared" si="319"/>
        <v>9.0489622191823424E-2</v>
      </c>
      <c r="N88" s="79">
        <f t="shared" ref="N88:P88" si="320">N87/N20</f>
        <v>5.2594487725386899E-2</v>
      </c>
      <c r="O88" s="79">
        <f t="shared" si="320"/>
        <v>7.8123170020502314E-2</v>
      </c>
      <c r="P88" s="79">
        <f t="shared" si="320"/>
        <v>6.2388887417188309E-2</v>
      </c>
      <c r="R88" s="90">
        <v>0</v>
      </c>
      <c r="S88" s="90">
        <v>0</v>
      </c>
      <c r="T88" s="90">
        <v>0</v>
      </c>
      <c r="U88" s="90">
        <v>0</v>
      </c>
      <c r="V88" s="90">
        <v>0</v>
      </c>
      <c r="W88" s="79">
        <f t="shared" ref="W88:X88" si="321">W87/W20</f>
        <v>4.4883780483203857E-2</v>
      </c>
      <c r="X88" s="79">
        <f t="shared" si="321"/>
        <v>6.683361610301182E-2</v>
      </c>
      <c r="Y88" s="79">
        <f>Y87/Y20</f>
        <v>6.5355634412671892E-2</v>
      </c>
      <c r="AA88" s="90">
        <v>0</v>
      </c>
      <c r="AB88" s="90">
        <v>0</v>
      </c>
      <c r="AC88" s="90">
        <v>0</v>
      </c>
      <c r="AD88" s="90">
        <v>0</v>
      </c>
      <c r="AE88" s="90">
        <v>0</v>
      </c>
      <c r="AF88" s="79">
        <f t="shared" ref="AF88:AG88" si="322">AF87/AF20</f>
        <v>4.2518844434053876E-2</v>
      </c>
      <c r="AG88" s="79">
        <f t="shared" si="322"/>
        <v>4.446634829154688E-2</v>
      </c>
      <c r="AH88" s="79">
        <f>AH87/AH20</f>
        <v>5.9349459980179382E-2</v>
      </c>
      <c r="AI88" s="79">
        <f>AI87/AI20</f>
        <v>5.3094706051566298E-2</v>
      </c>
      <c r="AK88" s="90">
        <v>0</v>
      </c>
      <c r="AL88" s="90">
        <v>0</v>
      </c>
      <c r="AM88" s="90">
        <v>0</v>
      </c>
      <c r="AN88" s="90">
        <v>0</v>
      </c>
      <c r="AO88" s="90">
        <v>0</v>
      </c>
      <c r="AP88" s="90">
        <v>0</v>
      </c>
      <c r="AQ88" s="90">
        <v>0</v>
      </c>
      <c r="AR88" s="90">
        <v>0</v>
      </c>
      <c r="AS88" s="90">
        <v>0</v>
      </c>
      <c r="AT88" s="90">
        <v>0</v>
      </c>
      <c r="AU88" s="90">
        <v>0</v>
      </c>
      <c r="AV88" s="90">
        <v>0</v>
      </c>
      <c r="AW88" s="90">
        <v>0</v>
      </c>
      <c r="AX88" s="90">
        <v>0</v>
      </c>
      <c r="AY88" s="90">
        <v>0</v>
      </c>
      <c r="AZ88" s="90">
        <v>0</v>
      </c>
      <c r="BA88" s="90">
        <v>0</v>
      </c>
      <c r="BB88" s="90">
        <v>0</v>
      </c>
      <c r="BC88" s="90">
        <v>0</v>
      </c>
      <c r="BD88" s="90">
        <v>0</v>
      </c>
      <c r="BE88" s="79">
        <f t="shared" ref="BE88:BH88" si="323">BE87/BE20</f>
        <v>5.9694362085580904E-2</v>
      </c>
      <c r="BF88" s="79">
        <f t="shared" si="323"/>
        <v>2.4910733901623967E-2</v>
      </c>
      <c r="BG88" s="79">
        <f t="shared" si="323"/>
        <v>4.8390408342312966E-2</v>
      </c>
      <c r="BH88" s="79">
        <f t="shared" si="323"/>
        <v>7.112711120368248E-2</v>
      </c>
      <c r="BI88" s="79">
        <f t="shared" ref="BI88:BO88" si="324">BI87/BI20</f>
        <v>6.2601373185176071E-2</v>
      </c>
      <c r="BJ88" s="79">
        <f t="shared" si="324"/>
        <v>2.7091664524083767E-2</v>
      </c>
      <c r="BK88" s="79">
        <f t="shared" si="324"/>
        <v>0.10186125977474761</v>
      </c>
      <c r="BL88" s="79">
        <f t="shared" si="324"/>
        <v>0.10440893348303175</v>
      </c>
      <c r="BM88" s="79">
        <f t="shared" si="324"/>
        <v>5.6758428724122387E-2</v>
      </c>
      <c r="BN88" s="79">
        <f t="shared" si="324"/>
        <v>6.1894116539692769E-2</v>
      </c>
      <c r="BO88" s="79">
        <f t="shared" si="324"/>
        <v>7.3847434542458373E-2</v>
      </c>
      <c r="BP88" s="79">
        <f>BP87/BP20</f>
        <v>5.4197667415493624E-2</v>
      </c>
      <c r="BQ88" s="79">
        <f>BQ87/BQ20</f>
        <v>9.3715202167128864E-2</v>
      </c>
      <c r="BR88" s="79">
        <f>BR87/BR20</f>
        <v>1.6738577705494029E-2</v>
      </c>
    </row>
    <row r="89" spans="1:70" x14ac:dyDescent="0.25">
      <c r="A89" s="85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R89" s="79"/>
      <c r="S89" s="79"/>
      <c r="T89" s="79"/>
      <c r="U89" s="79"/>
      <c r="V89" s="79"/>
      <c r="W89" s="79"/>
      <c r="X89" s="79"/>
      <c r="Y89" s="79"/>
      <c r="AA89" s="79"/>
      <c r="AB89" s="79"/>
      <c r="AC89" s="79"/>
      <c r="AD89" s="79"/>
      <c r="AE89" s="79"/>
      <c r="AF89" s="79"/>
      <c r="AG89" s="79"/>
      <c r="AH89" s="79"/>
      <c r="AI89" s="79"/>
      <c r="AK89" s="162"/>
      <c r="AL89" s="79"/>
      <c r="AM89" s="79"/>
      <c r="AN89" s="79"/>
      <c r="AO89" s="79"/>
      <c r="AP89" s="79"/>
      <c r="AQ89" s="79"/>
      <c r="AR89" s="79"/>
      <c r="AS89" s="79"/>
      <c r="AT89" s="79"/>
      <c r="AU89" s="79"/>
      <c r="AV89" s="79"/>
      <c r="AW89" s="79"/>
      <c r="AX89" s="79"/>
      <c r="AY89" s="79"/>
      <c r="AZ89" s="79"/>
      <c r="BA89" s="79"/>
      <c r="BB89" s="79"/>
      <c r="BC89" s="79"/>
      <c r="BD89" s="79"/>
      <c r="BE89" s="79"/>
      <c r="BF89" s="79"/>
      <c r="BG89" s="79"/>
      <c r="BH89" s="79"/>
      <c r="BI89" s="79"/>
      <c r="BJ89" s="79"/>
      <c r="BK89" s="79"/>
      <c r="BL89" s="79"/>
      <c r="BM89" s="79"/>
      <c r="BN89" s="79"/>
      <c r="BO89" s="79"/>
      <c r="BP89" s="79"/>
      <c r="BQ89" s="79"/>
    </row>
    <row r="90" spans="1:70" x14ac:dyDescent="0.25">
      <c r="A90" s="66" t="s">
        <v>198</v>
      </c>
      <c r="B90" s="114">
        <f>DRE_ACM!C20/1000</f>
        <v>-3.294</v>
      </c>
      <c r="C90" s="114">
        <f>DRE_ACM!D20/1000</f>
        <v>-2.242</v>
      </c>
      <c r="D90" s="114">
        <f>DRE_ACM!E20/1000</f>
        <v>-2.0219999999999998</v>
      </c>
      <c r="E90" s="114">
        <f>DRE_ACM!F20/1000</f>
        <v>-12.468999999999999</v>
      </c>
      <c r="F90" s="114">
        <f>DRE_ACM!G20/1000</f>
        <v>-3.7719999999999998</v>
      </c>
      <c r="G90" s="114">
        <f>DRE_ACM!H20/1000</f>
        <v>-16.016999999999999</v>
      </c>
      <c r="H90" s="114">
        <f>DRE_ACM!I20/1000</f>
        <v>21.167999999999999</v>
      </c>
      <c r="I90" s="114">
        <f>SUM(AK90:AN90)</f>
        <v>5.5720000000000001</v>
      </c>
      <c r="J90" s="114">
        <f>SUM(AO90:AR90)</f>
        <v>-7.9130000000000003</v>
      </c>
      <c r="K90" s="114">
        <f>SUM(AS90:AV90)</f>
        <v>-29.056000000000001</v>
      </c>
      <c r="L90" s="114">
        <f>SUM(AW90:AZ90)</f>
        <v>50.469000000000008</v>
      </c>
      <c r="M90" s="89">
        <f>SUM(BA90:BD90)</f>
        <v>30.853000000000009</v>
      </c>
      <c r="N90" s="70">
        <f>SUM(BE90:BH90)</f>
        <v>145.08199999999999</v>
      </c>
      <c r="O90" s="114">
        <f t="shared" ref="O90" si="325">SUM(BI90:BL90)</f>
        <v>-244.661</v>
      </c>
      <c r="P90" s="114">
        <f>SUM(BM90:BP90)</f>
        <v>-227.32499999999999</v>
      </c>
      <c r="Q90" s="86"/>
      <c r="R90" s="114">
        <f>SUM(AK90:AM90)</f>
        <v>0</v>
      </c>
      <c r="S90" s="114">
        <f>SUM(AO90:AQ90)</f>
        <v>-4.8460000000000001</v>
      </c>
      <c r="T90" s="114">
        <f>SUM(AS90:AU90)</f>
        <v>-13.599</v>
      </c>
      <c r="U90" s="114">
        <f>SUM(AW90:AY90)</f>
        <v>-18.579999999999998</v>
      </c>
      <c r="V90" s="114">
        <f>SUM(BA90:BC90)</f>
        <v>33.113000000000007</v>
      </c>
      <c r="W90" s="114">
        <f>SUM(BE90:BG90)</f>
        <v>130.65799999999999</v>
      </c>
      <c r="X90" s="67">
        <f>SUM(BI90:BK90)</f>
        <v>-227.44499999999999</v>
      </c>
      <c r="Y90" s="67">
        <f>SUM(BM90:BO90)</f>
        <v>-226.31399999999999</v>
      </c>
      <c r="Z90" s="86"/>
      <c r="AA90" s="114">
        <f>SUM(AK90:AL90)</f>
        <v>0</v>
      </c>
      <c r="AB90" s="114">
        <f>SUM(AO90:AP90)</f>
        <v>-7.1630000000000003</v>
      </c>
      <c r="AC90" s="114">
        <f>SUM(AS90:AT90)</f>
        <v>1.401</v>
      </c>
      <c r="AD90" s="114">
        <f>SUM(AW90:AX90)</f>
        <v>-19.549999999999997</v>
      </c>
      <c r="AE90" s="114">
        <f>SUM(BA90:BB90)</f>
        <v>-34.448</v>
      </c>
      <c r="AF90" s="114">
        <f>SUM(BE90:BF90)</f>
        <v>28.110999999999997</v>
      </c>
      <c r="AG90" s="114">
        <f>SUM(BI90:BJ90)</f>
        <v>-91.266999999999996</v>
      </c>
      <c r="AH90" s="114">
        <f>SUM(BM90:BN90)</f>
        <v>-176.404</v>
      </c>
      <c r="AI90" s="114">
        <f>SUM(BQ90:BR90)</f>
        <v>-28.72</v>
      </c>
      <c r="AJ90" s="86"/>
      <c r="AK90" s="114">
        <f>DRE_TRI!C19/1000</f>
        <v>0</v>
      </c>
      <c r="AL90" s="114">
        <f>DRE_TRI!D19/1000</f>
        <v>0</v>
      </c>
      <c r="AM90" s="114">
        <f>DRE_TRI!E19/1000</f>
        <v>0</v>
      </c>
      <c r="AN90" s="114">
        <f>DRE_TRI!F19/1000</f>
        <v>5.5720000000000001</v>
      </c>
      <c r="AO90" s="114">
        <f>DRE_TRI!H19/1000</f>
        <v>0</v>
      </c>
      <c r="AP90" s="114">
        <f>DRE_TRI!I19/1000</f>
        <v>-7.1630000000000003</v>
      </c>
      <c r="AQ90" s="114">
        <f>DRE_TRI!J19/1000</f>
        <v>2.3170000000000002</v>
      </c>
      <c r="AR90" s="114">
        <f>DRE_TRI!K19/1000</f>
        <v>-3.0670000000000002</v>
      </c>
      <c r="AS90" s="114">
        <f>DRE_TRI!M19/1000</f>
        <v>2.585</v>
      </c>
      <c r="AT90" s="114">
        <f>DRE_TRI!N19/1000</f>
        <v>-1.1839999999999999</v>
      </c>
      <c r="AU90" s="114">
        <f>DRE_TRI!O19/1000</f>
        <v>-15</v>
      </c>
      <c r="AV90" s="114">
        <f>DRE_TRI!P19/1000</f>
        <v>-15.457000000000001</v>
      </c>
      <c r="AW90" s="114">
        <f>DRE_TRI!R19/1000</f>
        <v>6.15</v>
      </c>
      <c r="AX90" s="114">
        <f>DRE_TRI!S19/1000</f>
        <v>-25.7</v>
      </c>
      <c r="AY90" s="114">
        <f>DRE_TRI!T19/1000</f>
        <v>0.97</v>
      </c>
      <c r="AZ90" s="114">
        <f>DRE_TRI!U19/1000</f>
        <v>69.049000000000007</v>
      </c>
      <c r="BA90" s="114">
        <f>DRE_TRI!W19/1000</f>
        <v>4.5179999999999998</v>
      </c>
      <c r="BB90" s="114">
        <f>DRE_TRI!X19/1000</f>
        <v>-38.966000000000001</v>
      </c>
      <c r="BC90" s="114">
        <f>DRE_TRI!Y19/1000</f>
        <v>67.561000000000007</v>
      </c>
      <c r="BD90" s="114">
        <f>DRE_TRI!Z19/1000</f>
        <v>-2.2599999999999998</v>
      </c>
      <c r="BE90" s="114">
        <f>DRE_TRI!AB19/1000</f>
        <v>9.1321157700000004</v>
      </c>
      <c r="BF90" s="114">
        <f>DRE_TRI!AC19/1000</f>
        <v>18.978884229999998</v>
      </c>
      <c r="BG90" s="114">
        <f>DRE_TRI!AD19/1000</f>
        <v>102.547</v>
      </c>
      <c r="BH90" s="114">
        <f>DRE_TRI!AE19/1000</f>
        <v>14.423999999999999</v>
      </c>
      <c r="BI90" s="114">
        <f>DRE_TRI!AG19/1000</f>
        <v>-20.402000000000001</v>
      </c>
      <c r="BJ90" s="114">
        <f>DRE_TRI!AH19/1000</f>
        <v>-70.864999999999995</v>
      </c>
      <c r="BK90" s="114">
        <f>DRE_TRI!AI19/1000</f>
        <v>-136.178</v>
      </c>
      <c r="BL90" s="114">
        <f>DRE_TRI!AJ19/1000</f>
        <v>-17.216000000000001</v>
      </c>
      <c r="BM90" s="114">
        <f>DRE_TRI!AL19/1000</f>
        <v>-56.103000000000002</v>
      </c>
      <c r="BN90" s="114">
        <f>DRE_TRI!AM19/1000</f>
        <v>-120.301</v>
      </c>
      <c r="BO90" s="114">
        <f>DRE_TRI!AN19/1000</f>
        <v>-49.91</v>
      </c>
      <c r="BP90" s="114">
        <f>DRE_TRI!AO19/1000</f>
        <v>-1.0109999999999999</v>
      </c>
      <c r="BQ90" s="114">
        <f>DRE_TRI!AQ19/1000</f>
        <v>-7.04</v>
      </c>
      <c r="BR90" s="114">
        <f>DRE_TRI!AR19/1000</f>
        <v>-21.68</v>
      </c>
    </row>
    <row r="91" spans="1:70" x14ac:dyDescent="0.25">
      <c r="A91" s="85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</row>
    <row r="92" spans="1:70" x14ac:dyDescent="0.25">
      <c r="A92" s="66" t="s">
        <v>199</v>
      </c>
      <c r="B92" s="70">
        <f>DRE_ACM!C23/1000</f>
        <v>11.135</v>
      </c>
      <c r="C92" s="70">
        <f>DRE_ACM!D23/1000</f>
        <v>13.164</v>
      </c>
      <c r="D92" s="70">
        <f>DRE_ACM!E23/1000</f>
        <v>12.077999999999999</v>
      </c>
      <c r="E92" s="70">
        <f>DRE_ACM!F23/1000</f>
        <v>24.521000000000001</v>
      </c>
      <c r="F92" s="70">
        <f>DRE_ACM!G23/1000</f>
        <v>12.23</v>
      </c>
      <c r="G92" s="70">
        <f>DRE_ACM!H23/1000</f>
        <v>24.923999999999999</v>
      </c>
      <c r="H92" s="70">
        <f>DRE_ACM!I23/1000</f>
        <v>48.48</v>
      </c>
      <c r="I92" s="70">
        <f>SUM(AK92:AN92)</f>
        <v>143.59299999999999</v>
      </c>
      <c r="J92" s="70">
        <f>SUM(AO92:AR92)</f>
        <v>141.51100000000002</v>
      </c>
      <c r="K92" s="70">
        <f>SUM(AS92:AV92)</f>
        <v>293.24700000000001</v>
      </c>
      <c r="L92" s="70">
        <f>SUM(AW92:AZ92)</f>
        <v>430.30600000000004</v>
      </c>
      <c r="M92" s="89">
        <f>SUM(BA92:BD92)</f>
        <v>571.17399999999998</v>
      </c>
      <c r="N92" s="70">
        <f>SUM(BE92:BH92)</f>
        <v>573.80200000000002</v>
      </c>
      <c r="O92" s="114">
        <f t="shared" ref="O92" si="326">SUM(BI92:BL92)</f>
        <v>756.36500000000001</v>
      </c>
      <c r="P92" s="114">
        <f>SUM(BM92:BP92)</f>
        <v>808.69899999999996</v>
      </c>
      <c r="Q92" s="86"/>
      <c r="R92" s="89">
        <f>SUM(AK92:AM92)</f>
        <v>71.516999999999996</v>
      </c>
      <c r="S92" s="89">
        <f>SUM(AO92:AQ92)</f>
        <v>67.108000000000004</v>
      </c>
      <c r="T92" s="89">
        <f>SUM(AS92:AU92)</f>
        <v>168.48500000000001</v>
      </c>
      <c r="U92" s="89">
        <f>SUM(AW92:AY92)</f>
        <v>263.25</v>
      </c>
      <c r="V92" s="89">
        <f>SUM(BA92:BC92)</f>
        <v>347.16399999999999</v>
      </c>
      <c r="W92" s="89">
        <f>SUM(BE92:BG92)</f>
        <v>398.15300000000002</v>
      </c>
      <c r="X92" s="89">
        <f>SUM(BI92:BK92)</f>
        <v>620.45699999999999</v>
      </c>
      <c r="Y92" s="89">
        <f>SUM(BM92:BO92)</f>
        <v>726.31</v>
      </c>
      <c r="Z92" s="86"/>
      <c r="AA92" s="89">
        <f>SUM(AK92:AL92)</f>
        <v>48.966999999999999</v>
      </c>
      <c r="AB92" s="89">
        <f>SUM(AO92:AP92)</f>
        <v>33.283000000000001</v>
      </c>
      <c r="AC92" s="89">
        <f>SUM(AS92:AT92)</f>
        <v>44.152000000000001</v>
      </c>
      <c r="AD92" s="89">
        <f>SUM(AW92:AX92)</f>
        <v>165.315</v>
      </c>
      <c r="AE92" s="89">
        <f>SUM(BA92:BB92)</f>
        <v>178.00399999999999</v>
      </c>
      <c r="AF92" s="89">
        <f>SUM(BE92:BF92)</f>
        <v>180.28800000000001</v>
      </c>
      <c r="AG92" s="70">
        <f>SUM(BI92:BJ92)</f>
        <v>302.08199999999999</v>
      </c>
      <c r="AH92" s="70">
        <f>SUM(BM92:BN92)</f>
        <v>523.26599999999996</v>
      </c>
      <c r="AI92" s="70">
        <f>SUM(BQ92:BR92)</f>
        <v>291.06299999999999</v>
      </c>
      <c r="AK92" s="70">
        <f>DRE_TRI!C22/1000</f>
        <v>19.77</v>
      </c>
      <c r="AL92" s="70">
        <f>DRE_TRI!D22/1000</f>
        <v>29.196999999999999</v>
      </c>
      <c r="AM92" s="70">
        <f>DRE_TRI!E22/1000</f>
        <v>22.55</v>
      </c>
      <c r="AN92" s="70">
        <f>DRE_TRI!F22/1000</f>
        <v>72.075999999999993</v>
      </c>
      <c r="AO92" s="70">
        <f>DRE_TRI!H22/1000</f>
        <v>14.903</v>
      </c>
      <c r="AP92" s="70">
        <f>DRE_TRI!I22/1000</f>
        <v>18.38</v>
      </c>
      <c r="AQ92" s="70">
        <f>DRE_TRI!J22/1000</f>
        <v>33.825000000000003</v>
      </c>
      <c r="AR92" s="70">
        <f>DRE_TRI!K22/1000</f>
        <v>74.403000000000006</v>
      </c>
      <c r="AS92" s="70">
        <f>DRE_TRI!M22/1000</f>
        <v>9.6940000000000008</v>
      </c>
      <c r="AT92" s="70">
        <f>DRE_TRI!N22/1000</f>
        <v>34.457999999999998</v>
      </c>
      <c r="AU92" s="70">
        <f>DRE_TRI!O22/1000</f>
        <v>124.333</v>
      </c>
      <c r="AV92" s="70">
        <f>DRE_TRI!P22/1000</f>
        <v>124.762</v>
      </c>
      <c r="AW92" s="70">
        <f>DRE_TRI!R22/1000</f>
        <v>51.039000000000001</v>
      </c>
      <c r="AX92" s="70">
        <f>DRE_TRI!S22/1000</f>
        <v>114.276</v>
      </c>
      <c r="AY92" s="70">
        <f>DRE_TRI!T22/1000</f>
        <v>97.935000000000002</v>
      </c>
      <c r="AZ92" s="70">
        <f>DRE_TRI!U22/1000</f>
        <v>167.05600000000001</v>
      </c>
      <c r="BA92" s="70">
        <f>DRE_TRI!W22/1000</f>
        <v>56.781999999999996</v>
      </c>
      <c r="BB92" s="70">
        <f>DRE_TRI!X22/1000</f>
        <v>121.22199999999999</v>
      </c>
      <c r="BC92" s="70">
        <f>DRE_TRI!Y22/1000</f>
        <v>169.16</v>
      </c>
      <c r="BD92" s="70">
        <f>DRE_TRI!Z22/1000</f>
        <v>224.01</v>
      </c>
      <c r="BE92" s="70">
        <f>DRE_TRI!AB22/1000</f>
        <v>103.33919490839952</v>
      </c>
      <c r="BF92" s="70">
        <f>DRE_TRI!AC22/1000</f>
        <v>76.948805091600491</v>
      </c>
      <c r="BG92" s="70">
        <f>DRE_TRI!AD22/1000</f>
        <v>217.86500000000001</v>
      </c>
      <c r="BH92" s="70">
        <f>DRE_TRI!AE22/1000</f>
        <v>175.649</v>
      </c>
      <c r="BI92" s="70">
        <f>DRE_TRI!AG22/1000</f>
        <v>156.43799999999999</v>
      </c>
      <c r="BJ92" s="70">
        <f>DRE_TRI!AH22/1000</f>
        <v>145.64400000000001</v>
      </c>
      <c r="BK92" s="70">
        <f>DRE_TRI!AI22/1000</f>
        <v>318.375</v>
      </c>
      <c r="BL92" s="70">
        <f>DRE_TRI!AJ22/1000</f>
        <v>135.90799999999999</v>
      </c>
      <c r="BM92" s="70">
        <f>DRE_TRI!AL22/1000</f>
        <v>192.41900000000001</v>
      </c>
      <c r="BN92" s="70">
        <f>DRE_TRI!AM22/1000</f>
        <v>330.84699999999998</v>
      </c>
      <c r="BO92" s="70">
        <f>DRE_TRI!AN22/1000</f>
        <v>203.04400000000001</v>
      </c>
      <c r="BP92" s="70">
        <f>DRE_TRI!AO22/1000</f>
        <v>82.388999999999996</v>
      </c>
      <c r="BQ92" s="70">
        <f>DRE_TRI!AQ22/1000</f>
        <v>85.174999999999997</v>
      </c>
      <c r="BR92" s="70">
        <f>DRE_TRI!AR22/1000</f>
        <v>205.88800000000001</v>
      </c>
    </row>
    <row r="93" spans="1:70" x14ac:dyDescent="0.25">
      <c r="A93" s="85" t="s">
        <v>200</v>
      </c>
      <c r="B93" s="79">
        <f t="shared" ref="B93:P93" si="327">B92/B20</f>
        <v>2.8426351879177154E-2</v>
      </c>
      <c r="C93" s="79">
        <f t="shared" si="327"/>
        <v>2.736906447448028E-2</v>
      </c>
      <c r="D93" s="79">
        <f t="shared" si="327"/>
        <v>1.3394817742643828E-2</v>
      </c>
      <c r="E93" s="79">
        <f t="shared" si="327"/>
        <v>2.6731654351565787E-2</v>
      </c>
      <c r="F93" s="79">
        <f t="shared" si="327"/>
        <v>1.0981038628474561E-2</v>
      </c>
      <c r="G93" s="79">
        <f t="shared" si="327"/>
        <v>2.1861201892462257E-2</v>
      </c>
      <c r="H93" s="79">
        <f t="shared" si="327"/>
        <v>3.6558404774481829E-2</v>
      </c>
      <c r="I93" s="79">
        <f t="shared" si="327"/>
        <v>7.4726877511821707E-2</v>
      </c>
      <c r="J93" s="79">
        <f t="shared" si="327"/>
        <v>6.3186654944183518E-2</v>
      </c>
      <c r="K93" s="79">
        <f t="shared" si="327"/>
        <v>9.4279268391481583E-2</v>
      </c>
      <c r="L93" s="79">
        <f t="shared" si="327"/>
        <v>8.0591954353113809E-2</v>
      </c>
      <c r="M93" s="79">
        <f t="shared" si="327"/>
        <v>8.2949074487266919E-2</v>
      </c>
      <c r="N93" s="79">
        <f t="shared" si="327"/>
        <v>6.3762969648661322E-2</v>
      </c>
      <c r="O93" s="79">
        <f t="shared" si="327"/>
        <v>5.8972281815357651E-2</v>
      </c>
      <c r="P93" s="79">
        <f t="shared" si="327"/>
        <v>4.9239774973642632E-2</v>
      </c>
      <c r="R93" s="79">
        <f t="shared" ref="R93:Y93" si="328">R92/R20</f>
        <v>5.3609401750424876E-2</v>
      </c>
      <c r="S93" s="79">
        <f t="shared" si="328"/>
        <v>4.3209947966937112E-2</v>
      </c>
      <c r="T93" s="79">
        <f t="shared" si="328"/>
        <v>8.0140750753480094E-2</v>
      </c>
      <c r="U93" s="79">
        <f t="shared" si="328"/>
        <v>7.106801526268304E-2</v>
      </c>
      <c r="V93" s="79">
        <f t="shared" si="328"/>
        <v>7.5965131277398387E-2</v>
      </c>
      <c r="W93" s="79">
        <f t="shared" si="328"/>
        <v>6.6699057775489276E-2</v>
      </c>
      <c r="X93" s="79">
        <f t="shared" si="328"/>
        <v>6.9152877932431037E-2</v>
      </c>
      <c r="Y93" s="79">
        <f t="shared" si="328"/>
        <v>6.0240373954633233E-2</v>
      </c>
      <c r="AA93" s="79">
        <f t="shared" ref="AA93:AI93" si="329">AA92/AA20</f>
        <v>6.0916860012105244E-2</v>
      </c>
      <c r="AB93" s="79">
        <f t="shared" si="329"/>
        <v>3.4644140567588078E-2</v>
      </c>
      <c r="AC93" s="79">
        <f t="shared" si="329"/>
        <v>3.5199649426007826E-2</v>
      </c>
      <c r="AD93" s="79">
        <f t="shared" si="329"/>
        <v>8.3718506492026695E-2</v>
      </c>
      <c r="AE93" s="79">
        <f t="shared" si="329"/>
        <v>6.4248885380392598E-2</v>
      </c>
      <c r="AF93" s="79">
        <f t="shared" si="329"/>
        <v>5.0570895128225685E-2</v>
      </c>
      <c r="AG93" s="79">
        <f t="shared" si="329"/>
        <v>5.5167827966548372E-2</v>
      </c>
      <c r="AH93" s="79">
        <f t="shared" si="329"/>
        <v>7.4096163497735845E-2</v>
      </c>
      <c r="AI93" s="79">
        <f t="shared" si="329"/>
        <v>3.2676731011553516E-2</v>
      </c>
      <c r="AK93" s="79">
        <f t="shared" ref="AK93:BP93" si="330">AK92/AK20</f>
        <v>5.9079252980050755E-2</v>
      </c>
      <c r="AL93" s="79">
        <f t="shared" si="330"/>
        <v>6.222745384385122E-2</v>
      </c>
      <c r="AM93" s="79">
        <f t="shared" si="330"/>
        <v>4.2530711228541559E-2</v>
      </c>
      <c r="AN93" s="79">
        <f t="shared" si="330"/>
        <v>0.12267574599264788</v>
      </c>
      <c r="AO93" s="79">
        <f t="shared" si="330"/>
        <v>3.3213248892683699E-2</v>
      </c>
      <c r="AP93" s="79">
        <f t="shared" si="330"/>
        <v>3.5898134609489228E-2</v>
      </c>
      <c r="AQ93" s="79">
        <f t="shared" si="330"/>
        <v>5.7102342033355562E-2</v>
      </c>
      <c r="AR93" s="79">
        <f t="shared" si="330"/>
        <v>0.10837976153073017</v>
      </c>
      <c r="AS93" s="79">
        <f t="shared" si="330"/>
        <v>1.8864893135584874E-2</v>
      </c>
      <c r="AT93" s="79">
        <f t="shared" si="330"/>
        <v>4.6535552820063379E-2</v>
      </c>
      <c r="AU93" s="79">
        <f t="shared" si="330"/>
        <v>0.14661340523729141</v>
      </c>
      <c r="AV93" s="79">
        <f t="shared" si="330"/>
        <v>0.12376636578862196</v>
      </c>
      <c r="AW93" s="79">
        <f t="shared" si="330"/>
        <v>6.6347057546540689E-2</v>
      </c>
      <c r="AX93" s="79">
        <f t="shared" si="330"/>
        <v>9.480495777265259E-2</v>
      </c>
      <c r="AY93" s="79">
        <f t="shared" si="330"/>
        <v>5.662471921806024E-2</v>
      </c>
      <c r="AZ93" s="79">
        <f t="shared" si="330"/>
        <v>0.10216748125564676</v>
      </c>
      <c r="BA93" s="79">
        <f t="shared" si="330"/>
        <v>4.4596637698460999E-2</v>
      </c>
      <c r="BB93" s="79">
        <f t="shared" si="330"/>
        <v>8.0960214991115984E-2</v>
      </c>
      <c r="BC93" s="79">
        <f t="shared" si="330"/>
        <v>8.6354057762676406E-2</v>
      </c>
      <c r="BD93" s="79">
        <f t="shared" si="330"/>
        <v>0.1038819990270772</v>
      </c>
      <c r="BE93" s="79">
        <f t="shared" si="330"/>
        <v>5.7261275532499392E-2</v>
      </c>
      <c r="BF93" s="79">
        <f t="shared" si="330"/>
        <v>4.3712006793527915E-2</v>
      </c>
      <c r="BG93" s="79">
        <f t="shared" si="330"/>
        <v>9.0613220052928017E-2</v>
      </c>
      <c r="BH93" s="79">
        <f t="shared" si="330"/>
        <v>5.7977808098046389E-2</v>
      </c>
      <c r="BI93" s="79">
        <f t="shared" si="330"/>
        <v>5.8389330135655657E-2</v>
      </c>
      <c r="BJ93" s="79">
        <f t="shared" si="330"/>
        <v>5.2081392641935238E-2</v>
      </c>
      <c r="BK93" s="79">
        <f t="shared" si="330"/>
        <v>9.105378022704505E-2</v>
      </c>
      <c r="BL93" s="79">
        <f t="shared" si="330"/>
        <v>3.526853378450346E-2</v>
      </c>
      <c r="BM93" s="79">
        <f t="shared" si="330"/>
        <v>5.4990871047303269E-2</v>
      </c>
      <c r="BN93" s="79">
        <f t="shared" si="330"/>
        <v>9.2859506333437106E-2</v>
      </c>
      <c r="BO93" s="79">
        <f t="shared" si="330"/>
        <v>4.0650434174681706E-2</v>
      </c>
      <c r="BP93" s="79">
        <f t="shared" si="330"/>
        <v>1.8867004211292858E-2</v>
      </c>
      <c r="BQ93" s="79">
        <f t="shared" ref="BQ93:BR93" si="331">BQ92/BQ20</f>
        <v>2.0246267883946178E-2</v>
      </c>
      <c r="BR93" s="79">
        <f t="shared" si="331"/>
        <v>4.3802235524908542E-2</v>
      </c>
    </row>
    <row r="94" spans="1:70" x14ac:dyDescent="0.25"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64"/>
      <c r="M94" s="64"/>
      <c r="N94" s="64"/>
      <c r="O94" s="64"/>
      <c r="P94" s="64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</row>
    <row r="95" spans="1:70" x14ac:dyDescent="0.25">
      <c r="A95" s="66" t="s">
        <v>201</v>
      </c>
      <c r="B95" s="114">
        <f t="shared" ref="B95:M95" si="332">B96-B97-B98</f>
        <v>151.44999999999999</v>
      </c>
      <c r="C95" s="114">
        <f t="shared" si="332"/>
        <v>176.66400000000004</v>
      </c>
      <c r="D95" s="114">
        <f t="shared" si="332"/>
        <v>294.226</v>
      </c>
      <c r="E95" s="114">
        <f t="shared" si="332"/>
        <v>390.63</v>
      </c>
      <c r="F95" s="114">
        <f t="shared" si="332"/>
        <v>387.11799999999999</v>
      </c>
      <c r="G95" s="114">
        <f t="shared" si="332"/>
        <v>277.30700000000002</v>
      </c>
      <c r="H95" s="114">
        <f t="shared" si="332"/>
        <v>233.40200000000002</v>
      </c>
      <c r="I95" s="114">
        <f t="shared" si="332"/>
        <v>169.10799999999998</v>
      </c>
      <c r="J95" s="114">
        <f t="shared" si="332"/>
        <v>291.64</v>
      </c>
      <c r="K95" s="114">
        <f t="shared" si="332"/>
        <v>408.78199999999993</v>
      </c>
      <c r="L95" s="114">
        <f t="shared" si="332"/>
        <v>-276.57900000000006</v>
      </c>
      <c r="M95" s="114">
        <f t="shared" si="332"/>
        <v>172.21899999999997</v>
      </c>
      <c r="N95" s="114">
        <f>N96-N97-N98</f>
        <v>-42.889000000000024</v>
      </c>
      <c r="O95" s="114">
        <f>O96-O97-O98</f>
        <v>224.65499999999997</v>
      </c>
      <c r="P95" s="114">
        <f>P96-P97-P98</f>
        <v>1600.0829999999999</v>
      </c>
      <c r="R95" s="114">
        <f t="shared" ref="R95" si="333">R96-R97-R98</f>
        <v>348.54400000000004</v>
      </c>
      <c r="S95" s="114">
        <f t="shared" ref="S95" si="334">S96-S97-S98</f>
        <v>503.745</v>
      </c>
      <c r="T95" s="114">
        <f t="shared" ref="T95" si="335">T96-T97-T98</f>
        <v>534.26099999999997</v>
      </c>
      <c r="U95" s="114">
        <f t="shared" ref="U95" si="336">U96-U97-U98</f>
        <v>-432.47099999999995</v>
      </c>
      <c r="V95" s="114">
        <f t="shared" ref="V95" si="337">V96-V97-V98</f>
        <v>-102.66300000000011</v>
      </c>
      <c r="W95" s="114">
        <f t="shared" ref="W95" si="338">W96-W97-W98</f>
        <v>52.738000000000063</v>
      </c>
      <c r="X95" s="114">
        <f>X96-X97-X98</f>
        <v>148.95500000000007</v>
      </c>
      <c r="Y95" s="114">
        <f>Y96-Y97-Y98</f>
        <v>1579.6210000000001</v>
      </c>
      <c r="AA95" s="114">
        <f t="shared" ref="AA95:AE95" si="339">AA96-AA97-AA98</f>
        <v>619.32799999999997</v>
      </c>
      <c r="AB95" s="114">
        <f t="shared" si="339"/>
        <v>659.01599999999996</v>
      </c>
      <c r="AC95" s="114">
        <f t="shared" si="339"/>
        <v>562.52699999999993</v>
      </c>
      <c r="AD95" s="114">
        <f t="shared" si="339"/>
        <v>868.80700000000002</v>
      </c>
      <c r="AE95" s="114">
        <f t="shared" si="339"/>
        <v>508.98999999999995</v>
      </c>
      <c r="AF95" s="114">
        <f>AF96-AF97-AF98</f>
        <v>564.70900000000006</v>
      </c>
      <c r="AG95" s="114">
        <f>AG96-AG97-AG98</f>
        <v>511.19</v>
      </c>
      <c r="AH95" s="114">
        <f>AH96-AH97-AH98</f>
        <v>1806.1969999999997</v>
      </c>
      <c r="AI95" s="114">
        <f>AI96-AI97-AI98</f>
        <v>3576.2589999999996</v>
      </c>
      <c r="AK95" s="114">
        <f t="shared" ref="AK95:BJ95" si="340">AK96-AK97-AK98</f>
        <v>516.73099999999999</v>
      </c>
      <c r="AL95" s="114">
        <f t="shared" si="340"/>
        <v>619.32799999999997</v>
      </c>
      <c r="AM95" s="114">
        <f t="shared" si="340"/>
        <v>348.54400000000004</v>
      </c>
      <c r="AN95" s="114">
        <f t="shared" si="340"/>
        <v>169.10799999999998</v>
      </c>
      <c r="AO95" s="114">
        <f t="shared" si="340"/>
        <v>645.25099999999998</v>
      </c>
      <c r="AP95" s="114">
        <f t="shared" si="340"/>
        <v>659.01599999999996</v>
      </c>
      <c r="AQ95" s="114">
        <f t="shared" si="340"/>
        <v>503.745</v>
      </c>
      <c r="AR95" s="114">
        <f t="shared" si="340"/>
        <v>291.64</v>
      </c>
      <c r="AS95" s="114">
        <f t="shared" si="340"/>
        <v>451.88600000000002</v>
      </c>
      <c r="AT95" s="114">
        <f t="shared" si="340"/>
        <v>562.52699999999993</v>
      </c>
      <c r="AU95" s="114">
        <f t="shared" si="340"/>
        <v>534.26099999999997</v>
      </c>
      <c r="AV95" s="114">
        <f t="shared" si="340"/>
        <v>408.78199999999993</v>
      </c>
      <c r="AW95" s="114">
        <f t="shared" si="340"/>
        <v>499.43899999999996</v>
      </c>
      <c r="AX95" s="114">
        <f t="shared" si="340"/>
        <v>868.80700000000002</v>
      </c>
      <c r="AY95" s="114">
        <f t="shared" si="340"/>
        <v>-432.47099999999995</v>
      </c>
      <c r="AZ95" s="114">
        <f t="shared" si="340"/>
        <v>-276.57900000000006</v>
      </c>
      <c r="BA95" s="114">
        <f t="shared" si="340"/>
        <v>-84.9849999999999</v>
      </c>
      <c r="BB95" s="114">
        <f t="shared" si="340"/>
        <v>508.98999999999995</v>
      </c>
      <c r="BC95" s="114">
        <f t="shared" si="340"/>
        <v>-102.66300000000011</v>
      </c>
      <c r="BD95" s="114">
        <f t="shared" si="340"/>
        <v>172.21899999999997</v>
      </c>
      <c r="BE95" s="114">
        <f t="shared" si="340"/>
        <v>187.23576110000019</v>
      </c>
      <c r="BF95" s="114">
        <f t="shared" si="340"/>
        <v>564.70900000000006</v>
      </c>
      <c r="BG95" s="114">
        <f t="shared" si="340"/>
        <v>52.738000000000063</v>
      </c>
      <c r="BH95" s="114">
        <f t="shared" si="340"/>
        <v>-42.889000000000024</v>
      </c>
      <c r="BI95" s="114">
        <f t="shared" si="340"/>
        <v>324.10899999999981</v>
      </c>
      <c r="BJ95" s="114">
        <f t="shared" si="340"/>
        <v>511.19</v>
      </c>
      <c r="BK95" s="114">
        <f t="shared" ref="BK95:BL95" si="341">BK96-BK97-BK98</f>
        <v>148.95500000000007</v>
      </c>
      <c r="BL95" s="114">
        <f t="shared" si="341"/>
        <v>224.65499999999997</v>
      </c>
      <c r="BM95" s="114">
        <f>BM96-BM97-BM98</f>
        <v>371.49299999999999</v>
      </c>
      <c r="BN95" s="114">
        <f t="shared" ref="BN95" si="342">BN96-BN97-BN98</f>
        <v>1806.1969999999997</v>
      </c>
      <c r="BO95" s="114">
        <f t="shared" ref="BO95:BP95" si="343">BO96-BO97-BO98</f>
        <v>1579.6210000000001</v>
      </c>
      <c r="BP95" s="114">
        <f t="shared" si="343"/>
        <v>1600.0829999999999</v>
      </c>
      <c r="BQ95" s="114">
        <f t="shared" ref="BQ95:BR95" si="344">BQ96-BQ97-BQ98</f>
        <v>2073.9230000000002</v>
      </c>
      <c r="BR95" s="114">
        <f t="shared" si="344"/>
        <v>3576.2589999999996</v>
      </c>
    </row>
    <row r="96" spans="1:70" x14ac:dyDescent="0.25">
      <c r="A96" s="62" t="s">
        <v>202</v>
      </c>
      <c r="B96" s="18">
        <f>(Passivo!C12+Passivo!C23)/1000</f>
        <v>164.245</v>
      </c>
      <c r="C96" s="18">
        <f>(Passivo!D12+Passivo!D23)/1000</f>
        <v>266.94600000000003</v>
      </c>
      <c r="D96" s="18">
        <f>(Passivo!E12+Passivo!E23)/1000</f>
        <v>324.22199999999998</v>
      </c>
      <c r="E96" s="18">
        <f>(Passivo!F12+Passivo!F23)/1000</f>
        <v>394.49200000000002</v>
      </c>
      <c r="F96" s="18">
        <f>(Passivo!G12+Passivo!G23)/1000</f>
        <v>442.06</v>
      </c>
      <c r="G96" s="18">
        <f>(Passivo!H12+Passivo!H23)/1000</f>
        <v>316.20800000000003</v>
      </c>
      <c r="H96" s="18">
        <f>(Passivo!I12+Passivo!I23)/1000</f>
        <v>266.53100000000001</v>
      </c>
      <c r="I96" s="18">
        <f>AN96</f>
        <v>324.78899999999999</v>
      </c>
      <c r="J96" s="18">
        <f>AR96</f>
        <v>473.44400000000002</v>
      </c>
      <c r="K96" s="18">
        <f>AV96</f>
        <v>641.55499999999995</v>
      </c>
      <c r="L96" s="18">
        <f>AZ96</f>
        <v>799.7</v>
      </c>
      <c r="M96" s="18">
        <f>BD96</f>
        <v>1096.07</v>
      </c>
      <c r="N96" s="18">
        <f>BH96</f>
        <v>1272.5119999999999</v>
      </c>
      <c r="O96" s="18">
        <f>BL96</f>
        <v>2066.8789999999999</v>
      </c>
      <c r="P96" s="18">
        <f>BP96</f>
        <v>4660.9629999999997</v>
      </c>
      <c r="R96" s="28">
        <f>AM96</f>
        <v>307.66000000000003</v>
      </c>
      <c r="S96" s="28">
        <f>AQ96</f>
        <v>426.83800000000002</v>
      </c>
      <c r="T96" s="28">
        <f>AU96</f>
        <v>616.58299999999997</v>
      </c>
      <c r="U96" s="28">
        <f>AY96</f>
        <v>901.87400000000002</v>
      </c>
      <c r="V96" s="28">
        <f>BC96</f>
        <v>1153.069</v>
      </c>
      <c r="W96" s="28">
        <f>BG96</f>
        <v>1262.424</v>
      </c>
      <c r="X96" s="28">
        <f>BK96</f>
        <v>1970.577</v>
      </c>
      <c r="Y96" s="28">
        <f>BO96</f>
        <v>4095.819</v>
      </c>
      <c r="AA96" s="28">
        <f>AL96</f>
        <v>325.12799999999999</v>
      </c>
      <c r="AB96" s="28">
        <f>AP96</f>
        <v>365.55099999999999</v>
      </c>
      <c r="AC96" s="28">
        <f>AT96</f>
        <v>617.65099999999995</v>
      </c>
      <c r="AD96" s="28">
        <f>AX96</f>
        <v>956.98400000000004</v>
      </c>
      <c r="AE96" s="28">
        <f>BB96</f>
        <v>1407.9559999999999</v>
      </c>
      <c r="AF96" s="28">
        <f>BF96</f>
        <v>1348.893</v>
      </c>
      <c r="AG96" s="28">
        <f>BJ96</f>
        <v>1972.6420000000001</v>
      </c>
      <c r="AH96" s="28">
        <f>BN96</f>
        <v>4064.3409999999999</v>
      </c>
      <c r="AI96" s="28">
        <f>BR96</f>
        <v>5121.1639999999998</v>
      </c>
      <c r="AK96" s="18">
        <f>(Passivo!K12+Passivo!K23)/1000</f>
        <v>268.00599999999997</v>
      </c>
      <c r="AL96" s="18">
        <f>(Passivo!L12+Passivo!L23)/1000</f>
        <v>325.12799999999999</v>
      </c>
      <c r="AM96" s="18">
        <f>(Passivo!M12+Passivo!M23)/1000</f>
        <v>307.66000000000003</v>
      </c>
      <c r="AN96" s="18">
        <f>(Passivo!N12+Passivo!N23)/1000</f>
        <v>324.78899999999999</v>
      </c>
      <c r="AO96" s="18">
        <f>(Passivo!P12+Passivo!P23)/1000</f>
        <v>289.81599999999997</v>
      </c>
      <c r="AP96" s="18">
        <f>(Passivo!Q12+Passivo!Q23)/1000</f>
        <v>365.55099999999999</v>
      </c>
      <c r="AQ96" s="18">
        <f>(Passivo!R12+Passivo!R23)/1000</f>
        <v>426.83800000000002</v>
      </c>
      <c r="AR96" s="18">
        <f>(Passivo!S12+Passivo!S23)/1000</f>
        <v>473.44400000000002</v>
      </c>
      <c r="AS96" s="18">
        <f>(Passivo!U12+Passivo!U23)/1000</f>
        <v>533.899</v>
      </c>
      <c r="AT96" s="18">
        <f>(Passivo!V12+Passivo!V23)/1000</f>
        <v>617.65099999999995</v>
      </c>
      <c r="AU96" s="18">
        <f>(Passivo!W12+Passivo!W23)/1000</f>
        <v>616.58299999999997</v>
      </c>
      <c r="AV96" s="18">
        <f>(Passivo!X12+Passivo!X23)/1000</f>
        <v>641.55499999999995</v>
      </c>
      <c r="AW96" s="18">
        <f>(Passivo!Z12+Passivo!Z23)/1000</f>
        <v>970.06399999999996</v>
      </c>
      <c r="AX96" s="18">
        <f>(Passivo!AA12+Passivo!AA23)/1000</f>
        <v>956.98400000000004</v>
      </c>
      <c r="AY96" s="18">
        <f>(Passivo!AB12+Passivo!AB23)/1000</f>
        <v>901.87400000000002</v>
      </c>
      <c r="AZ96" s="18">
        <f>(Passivo!AC12+Passivo!AC23)/1000</f>
        <v>799.7</v>
      </c>
      <c r="BA96" s="18">
        <f>(Passivo!AE12+Passivo!AE23)/1000</f>
        <v>1282.921</v>
      </c>
      <c r="BB96" s="18">
        <f>(Passivo!AF12+Passivo!AF23)/1000</f>
        <v>1407.9559999999999</v>
      </c>
      <c r="BC96" s="18">
        <f>(Passivo!AG12+Passivo!AG23)/1000</f>
        <v>1153.069</v>
      </c>
      <c r="BD96" s="18">
        <f>(Passivo!AH12+Passivo!AH23)/1000</f>
        <v>1096.07</v>
      </c>
      <c r="BE96" s="18">
        <f>(Passivo!AJ12+Passivo!AJ23)/1000</f>
        <v>1284.5480469500003</v>
      </c>
      <c r="BF96" s="18">
        <f>(Passivo!AK12+Passivo!AK23)/1000</f>
        <v>1348.893</v>
      </c>
      <c r="BG96" s="18">
        <f>(Passivo!AL12+Passivo!AL23)/1000</f>
        <v>1262.424</v>
      </c>
      <c r="BH96" s="18">
        <f>(Passivo!AM12+Passivo!AM23)/1000</f>
        <v>1272.5119999999999</v>
      </c>
      <c r="BI96" s="18">
        <f>(Passivo!AO12+Passivo!AO23)/1000</f>
        <v>1409.4849999999999</v>
      </c>
      <c r="BJ96" s="18">
        <f>(Passivo!AP12+Passivo!AP23)/1000</f>
        <v>1972.6420000000001</v>
      </c>
      <c r="BK96" s="18">
        <f>(Passivo!AQ12+Passivo!AQ23)/1000</f>
        <v>1970.577</v>
      </c>
      <c r="BL96" s="18">
        <f>(Passivo!AR12+Passivo!AR23)/1000</f>
        <v>2066.8789999999999</v>
      </c>
      <c r="BM96" s="18">
        <f>(Passivo!AT12+Passivo!AT23)/1000</f>
        <v>2208.259</v>
      </c>
      <c r="BN96" s="18">
        <f>(Passivo!AU12+Passivo!AU23)/1000</f>
        <v>4064.3409999999999</v>
      </c>
      <c r="BO96" s="18">
        <f>(Passivo!AV12+Passivo!AV23)/1000</f>
        <v>4095.819</v>
      </c>
      <c r="BP96" s="18">
        <f>(Passivo!AW12+Passivo!AW23)/1000</f>
        <v>4660.9629999999997</v>
      </c>
      <c r="BQ96" s="18">
        <f>(Passivo!AY12+Passivo!AY23)/1000</f>
        <v>4735.7470000000003</v>
      </c>
      <c r="BR96" s="18">
        <f>(Passivo!AZ12+Passivo!AZ23)/1000</f>
        <v>5121.1639999999998</v>
      </c>
    </row>
    <row r="97" spans="1:71" x14ac:dyDescent="0.25">
      <c r="A97" s="62" t="s">
        <v>203</v>
      </c>
      <c r="B97" s="18">
        <f>Ativo!C8/1000</f>
        <v>19.27</v>
      </c>
      <c r="C97" s="18">
        <f>Ativo!D8/1000</f>
        <v>49.475999999999999</v>
      </c>
      <c r="D97" s="18">
        <f>Ativo!E8/1000</f>
        <v>49.704999999999998</v>
      </c>
      <c r="E97" s="18">
        <f>Ativo!F8/1000</f>
        <v>37.299999999999997</v>
      </c>
      <c r="F97" s="18">
        <f>Ativo!G8/1000</f>
        <v>39.03</v>
      </c>
      <c r="G97" s="18">
        <f>Ativo!H8/1000</f>
        <v>37.252000000000002</v>
      </c>
      <c r="H97" s="18">
        <f>Ativo!I8/1000</f>
        <v>35.869999999999997</v>
      </c>
      <c r="I97" s="18">
        <f>AN97</f>
        <v>136.84700000000001</v>
      </c>
      <c r="J97" s="18">
        <f>AR97</f>
        <v>168.91</v>
      </c>
      <c r="K97" s="18">
        <f>AV97</f>
        <v>252.69200000000001</v>
      </c>
      <c r="L97" s="18">
        <f>AZ97</f>
        <v>1090.5920000000001</v>
      </c>
      <c r="M97" s="18">
        <f>BD97</f>
        <v>879.15499999999997</v>
      </c>
      <c r="N97" s="18">
        <f>BH97</f>
        <v>1225.934</v>
      </c>
      <c r="O97" s="18">
        <f t="shared" ref="O97:O98" si="345">BL97</f>
        <v>1772.2619999999999</v>
      </c>
      <c r="P97" s="18">
        <f>BP97</f>
        <v>2755.4259999999999</v>
      </c>
      <c r="Q97" s="28"/>
      <c r="R97" s="28">
        <f>AM97</f>
        <v>61.381999999999998</v>
      </c>
      <c r="S97" s="28">
        <f>AQ97</f>
        <v>80.42</v>
      </c>
      <c r="T97" s="28">
        <f>AU97</f>
        <v>135.262</v>
      </c>
      <c r="U97" s="28">
        <f>AY97</f>
        <v>1329.761</v>
      </c>
      <c r="V97" s="28">
        <f>BC97</f>
        <v>1230.2760000000001</v>
      </c>
      <c r="W97" s="28">
        <f>BG97</f>
        <v>1146.0899999999999</v>
      </c>
      <c r="X97" s="28">
        <f t="shared" ref="X97:X98" si="346">BK97</f>
        <v>1645.9169999999999</v>
      </c>
      <c r="Y97" s="28">
        <f>BO97</f>
        <v>2169.6759999999999</v>
      </c>
      <c r="Z97" s="28"/>
      <c r="AA97" s="28">
        <f>AL97</f>
        <v>20.448</v>
      </c>
      <c r="AB97" s="28">
        <f>AP97</f>
        <v>54.899000000000001</v>
      </c>
      <c r="AC97" s="28">
        <f>AT97</f>
        <v>91.402000000000001</v>
      </c>
      <c r="AD97" s="28">
        <f>AX97</f>
        <v>161.89599999999999</v>
      </c>
      <c r="AE97" s="28">
        <f>BB97</f>
        <v>904.77099999999996</v>
      </c>
      <c r="AF97" s="28">
        <f>BF97</f>
        <v>811.84699999999998</v>
      </c>
      <c r="AG97" s="28">
        <f>BJ97</f>
        <v>1633.854</v>
      </c>
      <c r="AH97" s="28">
        <f>BN97</f>
        <v>1846.789</v>
      </c>
      <c r="AI97" s="28">
        <f t="shared" ref="AI97" si="347">BR97</f>
        <v>1422.05</v>
      </c>
      <c r="AJ97" s="28"/>
      <c r="AK97" s="18">
        <f>Ativo!K8/1000</f>
        <v>41.402999999999999</v>
      </c>
      <c r="AL97" s="18">
        <f>Ativo!L8/1000</f>
        <v>20.448</v>
      </c>
      <c r="AM97" s="18">
        <f>Ativo!M8/1000</f>
        <v>61.381999999999998</v>
      </c>
      <c r="AN97" s="18">
        <f>Ativo!N8/1000</f>
        <v>136.84700000000001</v>
      </c>
      <c r="AO97" s="18">
        <f>Ativo!P8/1000</f>
        <v>71.307000000000002</v>
      </c>
      <c r="AP97" s="18">
        <f>Ativo!Q8/1000</f>
        <v>54.899000000000001</v>
      </c>
      <c r="AQ97" s="18">
        <f>Ativo!R8/1000</f>
        <v>80.42</v>
      </c>
      <c r="AR97" s="18">
        <f>Ativo!S8/1000</f>
        <v>168.91</v>
      </c>
      <c r="AS97" s="18">
        <f>Ativo!U8/1000</f>
        <v>101.248</v>
      </c>
      <c r="AT97" s="18">
        <f>Ativo!V8/1000</f>
        <v>91.402000000000001</v>
      </c>
      <c r="AU97" s="18">
        <f>Ativo!W8/1000</f>
        <v>135.262</v>
      </c>
      <c r="AV97" s="18">
        <f>Ativo!X8/1000</f>
        <v>252.69200000000001</v>
      </c>
      <c r="AW97" s="18">
        <f>Ativo!Z8/1000</f>
        <v>547.19299999999998</v>
      </c>
      <c r="AX97" s="18">
        <f>Ativo!AA8/1000</f>
        <v>161.89599999999999</v>
      </c>
      <c r="AY97" s="18">
        <f>(Ativo!AB8+Ativo!AB9)/1000</f>
        <v>1329.761</v>
      </c>
      <c r="AZ97" s="18">
        <f>(Ativo!AC8+Ativo!AC9)/1000</f>
        <v>1090.5920000000001</v>
      </c>
      <c r="BA97" s="18">
        <f>(Ativo!AE8+Ativo!AE9)/1000</f>
        <v>1310.646</v>
      </c>
      <c r="BB97" s="18">
        <f>(Ativo!AF8+Ativo!AF9)/1000</f>
        <v>904.77099999999996</v>
      </c>
      <c r="BC97" s="18">
        <f>(Ativo!AG8+Ativo!AG9)/1000</f>
        <v>1230.2760000000001</v>
      </c>
      <c r="BD97" s="18">
        <f>(Ativo!AH8+Ativo!AH9)/1000</f>
        <v>879.15499999999997</v>
      </c>
      <c r="BE97" s="18">
        <f>(Ativo!AJ8+Ativo!AJ9)/1000</f>
        <v>1091.9069791500001</v>
      </c>
      <c r="BF97" s="18">
        <f>(Ativo!AK8+Ativo!AK9)/1000</f>
        <v>811.84699999999998</v>
      </c>
      <c r="BG97" s="18">
        <f>(Ativo!AL8+Ativo!AL9)/1000</f>
        <v>1146.0899999999999</v>
      </c>
      <c r="BH97" s="18">
        <f>(Ativo!AM8+Ativo!AM9)/1000</f>
        <v>1225.934</v>
      </c>
      <c r="BI97" s="18">
        <f>(Ativo!AO8+Ativo!AO9)/1000</f>
        <v>1081.7180000000001</v>
      </c>
      <c r="BJ97" s="18">
        <f>(Ativo!AP8+Ativo!AP9)/1000</f>
        <v>1633.854</v>
      </c>
      <c r="BK97" s="18">
        <f>(Ativo!AQ8+Ativo!AQ9)/1000</f>
        <v>1645.9169999999999</v>
      </c>
      <c r="BL97" s="18">
        <f>(Ativo!AR8+Ativo!AR9)/1000</f>
        <v>1772.2619999999999</v>
      </c>
      <c r="BM97" s="18">
        <f>(Ativo!AT8+Ativo!AT9)/1000</f>
        <v>1654.884</v>
      </c>
      <c r="BN97" s="18">
        <f>(Ativo!AU8+Ativo!AU9)/1000</f>
        <v>1846.789</v>
      </c>
      <c r="BO97" s="18">
        <f>(Ativo!AV8+Ativo!AV9)/1000</f>
        <v>2169.6759999999999</v>
      </c>
      <c r="BP97" s="18">
        <f>(Ativo!AW8+Ativo!AW9)/1000</f>
        <v>2755.4259999999999</v>
      </c>
      <c r="BQ97" s="18">
        <f>(Ativo!AY8+Ativo!AY9)/1000</f>
        <v>2590.4490000000001</v>
      </c>
      <c r="BR97" s="18">
        <f>(Ativo!AZ8+Ativo!AZ9)/1000</f>
        <v>1422.05</v>
      </c>
    </row>
    <row r="98" spans="1:71" x14ac:dyDescent="0.25">
      <c r="A98" s="62" t="s">
        <v>276</v>
      </c>
      <c r="B98" s="115">
        <f>((Ativo!C17+Ativo!C29)-(Passivo!C13+Passivo!C27))/1000</f>
        <v>-6.4749999999999996</v>
      </c>
      <c r="C98" s="115">
        <f>((Ativo!D17+Ativo!D29)-(Passivo!D13+Passivo!D27))/1000</f>
        <v>40.805999999999997</v>
      </c>
      <c r="D98" s="115">
        <f>((Ativo!E17+Ativo!E29)-(Passivo!E13+Passivo!E27))/1000</f>
        <v>-19.709</v>
      </c>
      <c r="E98" s="115">
        <f>((Ativo!F17+Ativo!F29)-(Passivo!F13+Passivo!F27))/1000</f>
        <v>-33.438000000000002</v>
      </c>
      <c r="F98" s="115">
        <f>((Ativo!G17+Ativo!G29)-(Passivo!G13+Passivo!G27))/1000</f>
        <v>15.912000000000001</v>
      </c>
      <c r="G98" s="115">
        <f>((Ativo!H17+Ativo!H29)-(Passivo!H13+Passivo!H27))/1000</f>
        <v>1.649</v>
      </c>
      <c r="H98" s="115">
        <f>((Ativo!I17+Ativo!I29)-(Passivo!I13+Passivo!I27))/1000</f>
        <v>-2.7410000000000001</v>
      </c>
      <c r="I98" s="115">
        <f>AN98</f>
        <v>18.834</v>
      </c>
      <c r="J98" s="115">
        <f>AR98</f>
        <v>12.894</v>
      </c>
      <c r="K98" s="115">
        <f>AV98</f>
        <v>-19.919</v>
      </c>
      <c r="L98" s="115">
        <f>AZ98</f>
        <v>-14.313000000000001</v>
      </c>
      <c r="M98" s="115">
        <f>BD98</f>
        <v>44.695999999999998</v>
      </c>
      <c r="N98" s="115">
        <f>BH98</f>
        <v>89.466999999999999</v>
      </c>
      <c r="O98" s="18">
        <f t="shared" si="345"/>
        <v>69.962000000000003</v>
      </c>
      <c r="P98" s="18">
        <f>BP98</f>
        <v>305.45400000000001</v>
      </c>
      <c r="Q98" s="28"/>
      <c r="R98" s="115">
        <f>AM98</f>
        <v>-102.26600000000001</v>
      </c>
      <c r="S98" s="115">
        <f>AQ98</f>
        <v>-157.327</v>
      </c>
      <c r="T98" s="115">
        <f>AU98</f>
        <v>-52.94</v>
      </c>
      <c r="U98" s="115">
        <f>AY98</f>
        <v>4.5839999999999996</v>
      </c>
      <c r="V98" s="115">
        <f>BC98</f>
        <v>25.456</v>
      </c>
      <c r="W98" s="115">
        <f>BG98</f>
        <v>63.595999999999997</v>
      </c>
      <c r="X98" s="115">
        <f t="shared" si="346"/>
        <v>175.70500000000001</v>
      </c>
      <c r="Y98" s="115">
        <f>BO98</f>
        <v>346.52199999999999</v>
      </c>
      <c r="Z98" s="28"/>
      <c r="AA98" s="115">
        <f>AL98</f>
        <v>-314.64800000000002</v>
      </c>
      <c r="AB98" s="115">
        <f>AP98</f>
        <v>-348.36399999999998</v>
      </c>
      <c r="AC98" s="115">
        <f>AT98</f>
        <v>-36.277999999999999</v>
      </c>
      <c r="AD98" s="115">
        <f>AX98</f>
        <v>-73.718999999999994</v>
      </c>
      <c r="AE98" s="115">
        <f>BB98</f>
        <v>-5.8049999999999997</v>
      </c>
      <c r="AF98" s="115">
        <f>BF98</f>
        <v>-27.663</v>
      </c>
      <c r="AG98" s="115">
        <f>BJ98</f>
        <v>-172.40199999999999</v>
      </c>
      <c r="AH98" s="115">
        <f>BN98</f>
        <v>411.35500000000002</v>
      </c>
      <c r="AI98" s="28">
        <f>BR98</f>
        <v>122.855</v>
      </c>
      <c r="AJ98" s="28"/>
      <c r="AK98" s="115">
        <f>((Ativo!K17+Ativo!K29)-(Passivo!K13+Passivo!K27))/1000</f>
        <v>-290.12799999999999</v>
      </c>
      <c r="AL98" s="115">
        <f>((Ativo!L17+Ativo!L29)-(Passivo!L13+Passivo!L27))/1000</f>
        <v>-314.64800000000002</v>
      </c>
      <c r="AM98" s="115">
        <f>((Ativo!M17+Ativo!M29)-(Passivo!M13+Passivo!M27))/1000</f>
        <v>-102.26600000000001</v>
      </c>
      <c r="AN98" s="115">
        <f>((Ativo!N17+Ativo!N29)-(Passivo!N13+Passivo!N27))/1000</f>
        <v>18.834</v>
      </c>
      <c r="AO98" s="115">
        <f>((Ativo!P17+Ativo!P29)-(Passivo!P13+Passivo!P27))/1000</f>
        <v>-426.74200000000002</v>
      </c>
      <c r="AP98" s="115">
        <f>((Ativo!Q17+Ativo!Q29)-(Passivo!Q13+Passivo!Q27))/1000</f>
        <v>-348.36399999999998</v>
      </c>
      <c r="AQ98" s="115">
        <f>((Ativo!R17+Ativo!R29)-(Passivo!R13+Passivo!R27))/1000</f>
        <v>-157.327</v>
      </c>
      <c r="AR98" s="115">
        <f>((Ativo!S17+Ativo!S29)-(Passivo!S13+Passivo!S27))/1000</f>
        <v>12.894</v>
      </c>
      <c r="AS98" s="115">
        <f>((Ativo!U17+Ativo!U29)-(Passivo!U13+Passivo!U27))/1000</f>
        <v>-19.234999999999999</v>
      </c>
      <c r="AT98" s="115">
        <f>((Ativo!V17+Ativo!V29)-(Passivo!V13+Passivo!V27))/1000</f>
        <v>-36.277999999999999</v>
      </c>
      <c r="AU98" s="115">
        <f>((Ativo!W17+Ativo!W29)-(Passivo!W13+Passivo!W27))/1000</f>
        <v>-52.94</v>
      </c>
      <c r="AV98" s="115">
        <f>((Ativo!X17+Ativo!X29)-(Passivo!X13+Passivo!X27))/1000</f>
        <v>-19.919</v>
      </c>
      <c r="AW98" s="115">
        <f>((Ativo!Z17+Ativo!Z29)-(Passivo!Z13+Passivo!Z27))/1000</f>
        <v>-76.567999999999998</v>
      </c>
      <c r="AX98" s="115">
        <f>((Ativo!AA17+Ativo!AA29)-(Passivo!AA13+Passivo!AA27))/1000</f>
        <v>-73.718999999999994</v>
      </c>
      <c r="AY98" s="115">
        <f>((Ativo!AB17+Ativo!AB29)-(Passivo!AB13+Passivo!AB27))/1000</f>
        <v>4.5839999999999996</v>
      </c>
      <c r="AZ98" s="115">
        <f>((Ativo!AC17+Ativo!AC29)-(Passivo!AC13+Passivo!AC27))/1000</f>
        <v>-14.313000000000001</v>
      </c>
      <c r="BA98" s="115">
        <f>((Ativo!AE17+Ativo!AE29)-(Passivo!AE13+Passivo!AE27))/1000</f>
        <v>57.26</v>
      </c>
      <c r="BB98" s="115">
        <f>((Ativo!AF17+Ativo!AF29)-(Passivo!AF13+Passivo!AF27))/1000</f>
        <v>-5.8049999999999997</v>
      </c>
      <c r="BC98" s="18">
        <f>((Ativo!AG17+Ativo!AG29)-(Passivo!AG13+Passivo!AG27))/1000</f>
        <v>25.456</v>
      </c>
      <c r="BD98" s="115">
        <f>((Ativo!AH17+Ativo!AH29)-(Passivo!AH13+Passivo!AH27))/1000</f>
        <v>44.695999999999998</v>
      </c>
      <c r="BE98" s="18">
        <f>((Ativo!AJ17+Ativo!AJ29)-(Passivo!AJ13+Passivo!AJ27))/1000</f>
        <v>5.4053067000000006</v>
      </c>
      <c r="BF98" s="115">
        <f>((Ativo!AK17+Ativo!AK29)-(Passivo!AK13+Passivo!AK27))/1000</f>
        <v>-27.663</v>
      </c>
      <c r="BG98" s="18">
        <f>((Ativo!AL17+Ativo!AL29)-(Passivo!AL13+Passivo!AL27))/1000</f>
        <v>63.595999999999997</v>
      </c>
      <c r="BH98" s="18">
        <f>((Ativo!AM17+Ativo!AM29)-(Passivo!AM13+Passivo!AM27))/1000</f>
        <v>89.466999999999999</v>
      </c>
      <c r="BI98" s="18">
        <f>((Ativo!AO17+Ativo!AO29)-(Passivo!AO13+Passivo!AO27))/1000</f>
        <v>3.6579999999999999</v>
      </c>
      <c r="BJ98" s="115">
        <f>((Ativo!AP17+Ativo!AP29)-(Passivo!AP13+Passivo!AP27))/1000</f>
        <v>-172.40199999999999</v>
      </c>
      <c r="BK98" s="18">
        <f>((Ativo!AQ17+Ativo!AQ29)-(Passivo!AQ13+Passivo!AQ27))/1000</f>
        <v>175.70500000000001</v>
      </c>
      <c r="BL98" s="18">
        <f>((Ativo!AR17+Ativo!AR29)-(Passivo!AR13+Passivo!AR27))/1000</f>
        <v>69.962000000000003</v>
      </c>
      <c r="BM98" s="18">
        <f>((Ativo!AT17+Ativo!AT29)-(Passivo!AT13+Passivo!AT27))/1000</f>
        <v>181.88200000000001</v>
      </c>
      <c r="BN98" s="18">
        <f>((Ativo!AU17+Ativo!AU29)-(Passivo!AU13+Passivo!AU27))/1000</f>
        <v>411.35500000000002</v>
      </c>
      <c r="BO98" s="18">
        <f>((Ativo!AV17+Ativo!AV29)-(Passivo!AV13+Passivo!AV27))/1000</f>
        <v>346.52199999999999</v>
      </c>
      <c r="BP98" s="18">
        <f>((Ativo!AW17+Ativo!AW29)-(Passivo!AW13+Passivo!AW27))/1000</f>
        <v>305.45400000000001</v>
      </c>
      <c r="BQ98" s="18">
        <f>((Ativo!AY17+Ativo!AY29)-(Passivo!AY13+Passivo!AY27))/1000</f>
        <v>71.375</v>
      </c>
      <c r="BR98" s="18">
        <f>((Ativo!AZ17+Ativo!AZ29)-(Passivo!AZ13+Passivo!AZ27))/1000</f>
        <v>122.855</v>
      </c>
    </row>
    <row r="99" spans="1:71" x14ac:dyDescent="0.25">
      <c r="A99" s="62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20"/>
      <c r="BH99" s="120"/>
      <c r="BI99" s="120"/>
      <c r="BJ99" s="120"/>
      <c r="BK99" s="120"/>
      <c r="BL99" s="120"/>
      <c r="BM99" s="120"/>
      <c r="BN99" s="120"/>
    </row>
    <row r="100" spans="1:71" x14ac:dyDescent="0.25">
      <c r="A100" s="66" t="s">
        <v>204</v>
      </c>
      <c r="B100" s="114">
        <f t="shared" ref="B100" si="348">B101-B102-B103</f>
        <v>151.44999999999999</v>
      </c>
      <c r="C100" s="114">
        <f t="shared" ref="C100" si="349">C101-C102-C103</f>
        <v>176.66400000000004</v>
      </c>
      <c r="D100" s="114">
        <f t="shared" ref="D100" si="350">D101-D102-D103</f>
        <v>294.226</v>
      </c>
      <c r="E100" s="114">
        <f t="shared" ref="E100" si="351">E101-E102-E103</f>
        <v>390.63</v>
      </c>
      <c r="F100" s="114">
        <f t="shared" ref="F100" si="352">F101-F102-F103</f>
        <v>387.11799999999999</v>
      </c>
      <c r="G100" s="114">
        <f t="shared" ref="G100" si="353">G101-G102-G103</f>
        <v>277.30700000000002</v>
      </c>
      <c r="H100" s="114">
        <f t="shared" ref="H100" si="354">H101-H102-H103</f>
        <v>233.40200000000002</v>
      </c>
      <c r="I100" s="114">
        <f t="shared" ref="I100" si="355">I101-I102-I103</f>
        <v>169.10799999999998</v>
      </c>
      <c r="J100" s="114">
        <f t="shared" ref="J100" si="356">J101-J102-J103</f>
        <v>291.64</v>
      </c>
      <c r="K100" s="114">
        <f t="shared" ref="K100" si="357">K101-K102-K103</f>
        <v>408.78199999999993</v>
      </c>
      <c r="L100" s="114">
        <f t="shared" ref="L100" si="358">L101-L102-L103</f>
        <v>609.66800000000001</v>
      </c>
      <c r="M100" s="114">
        <f t="shared" ref="M100" si="359">M101-M102-M103</f>
        <v>535.69328018999988</v>
      </c>
      <c r="N100" s="131">
        <f>N101-N102-N103</f>
        <v>-42.889000000000024</v>
      </c>
      <c r="O100" s="131">
        <f>O101-O102-O103</f>
        <v>224.65499999999997</v>
      </c>
      <c r="P100" s="131">
        <f>P101-P102-P103</f>
        <v>1600.0829999999999</v>
      </c>
      <c r="Q100" s="1"/>
      <c r="R100" s="131">
        <f t="shared" ref="R100" si="360">R101-R102-R103</f>
        <v>348.54400000000004</v>
      </c>
      <c r="S100" s="131">
        <f t="shared" ref="S100" si="361">S101-S102-S103</f>
        <v>503.745</v>
      </c>
      <c r="T100" s="131">
        <f t="shared" ref="T100" si="362">T101-T102-T103</f>
        <v>534.26099999999997</v>
      </c>
      <c r="U100" s="131">
        <f t="shared" ref="U100" si="363">U101-U102-U103</f>
        <v>573.55700000000013</v>
      </c>
      <c r="V100" s="131">
        <f t="shared" ref="V100" si="364">V101-V102-V103</f>
        <v>416.09843503999991</v>
      </c>
      <c r="W100" s="131">
        <f t="shared" ref="W100:Y100" si="365">W101-W102-W103</f>
        <v>52.738000000000063</v>
      </c>
      <c r="X100" s="131">
        <f t="shared" si="365"/>
        <v>148.95500000000007</v>
      </c>
      <c r="Y100" s="131">
        <f t="shared" si="365"/>
        <v>1579.6210000000001</v>
      </c>
      <c r="Z100" s="1"/>
      <c r="AA100" s="131">
        <f t="shared" ref="AA100" si="366">AA101-AA102-AA103</f>
        <v>619.32799999999997</v>
      </c>
      <c r="AB100" s="131">
        <f t="shared" ref="AB100" si="367">AB101-AB102-AB103</f>
        <v>659.01599999999996</v>
      </c>
      <c r="AC100" s="131">
        <f t="shared" ref="AC100" si="368">AC101-AC102-AC103</f>
        <v>562.52699999999993</v>
      </c>
      <c r="AD100" s="131">
        <f t="shared" ref="AD100" si="369">AD101-AD102-AD103</f>
        <v>868.80700000000002</v>
      </c>
      <c r="AE100" s="131">
        <f t="shared" ref="AE100" si="370">AE101-AE102-AE103</f>
        <v>1016.0459999999999</v>
      </c>
      <c r="AF100" s="131">
        <f>AF101-AF102-AF103</f>
        <v>781.12670652999998</v>
      </c>
      <c r="AG100" s="131">
        <f>AG101-AG102-AG103</f>
        <v>511.19</v>
      </c>
      <c r="AH100" s="131">
        <f>AH101-AH102-AH103</f>
        <v>1806.1969999999997</v>
      </c>
      <c r="AI100" s="131">
        <f>AI101-AI102-AI103</f>
        <v>3576.2589999999996</v>
      </c>
      <c r="AJ100" s="1"/>
      <c r="AK100" s="131">
        <f t="shared" ref="AK100:BI100" si="371">AK101-AK102-AK103</f>
        <v>516.73099999999999</v>
      </c>
      <c r="AL100" s="131">
        <f t="shared" si="371"/>
        <v>619.32799999999997</v>
      </c>
      <c r="AM100" s="131">
        <f t="shared" si="371"/>
        <v>348.54400000000004</v>
      </c>
      <c r="AN100" s="131">
        <f t="shared" si="371"/>
        <v>169.10799999999998</v>
      </c>
      <c r="AO100" s="131">
        <f t="shared" si="371"/>
        <v>645.25099999999998</v>
      </c>
      <c r="AP100" s="131">
        <f t="shared" si="371"/>
        <v>659.01599999999996</v>
      </c>
      <c r="AQ100" s="131">
        <f t="shared" si="371"/>
        <v>503.745</v>
      </c>
      <c r="AR100" s="131">
        <f t="shared" si="371"/>
        <v>291.64</v>
      </c>
      <c r="AS100" s="131">
        <f t="shared" si="371"/>
        <v>451.88600000000002</v>
      </c>
      <c r="AT100" s="131">
        <f t="shared" si="371"/>
        <v>562.52699999999993</v>
      </c>
      <c r="AU100" s="131">
        <f t="shared" si="371"/>
        <v>534.26099999999997</v>
      </c>
      <c r="AV100" s="131">
        <f t="shared" si="371"/>
        <v>408.78199999999993</v>
      </c>
      <c r="AW100" s="131">
        <f t="shared" si="371"/>
        <v>499.43899999999996</v>
      </c>
      <c r="AX100" s="131">
        <f t="shared" si="371"/>
        <v>868.80700000000002</v>
      </c>
      <c r="AY100" s="131">
        <f t="shared" si="371"/>
        <v>573.55700000000013</v>
      </c>
      <c r="AZ100" s="131">
        <f t="shared" si="371"/>
        <v>609.66800000000001</v>
      </c>
      <c r="BA100" s="131">
        <f t="shared" si="371"/>
        <v>780.6110000000001</v>
      </c>
      <c r="BB100" s="131">
        <f t="shared" si="371"/>
        <v>1016.0459999999999</v>
      </c>
      <c r="BC100" s="131">
        <f t="shared" si="371"/>
        <v>416.09843503999991</v>
      </c>
      <c r="BD100" s="131">
        <f t="shared" si="371"/>
        <v>535.69328018999988</v>
      </c>
      <c r="BE100" s="131">
        <f t="shared" si="371"/>
        <v>517.23163684000031</v>
      </c>
      <c r="BF100" s="131">
        <f t="shared" si="371"/>
        <v>781.12670652999998</v>
      </c>
      <c r="BG100" s="131">
        <f t="shared" si="371"/>
        <v>52.738000000000063</v>
      </c>
      <c r="BH100" s="131">
        <f t="shared" si="371"/>
        <v>-42.889000000000024</v>
      </c>
      <c r="BI100" s="131">
        <f t="shared" si="371"/>
        <v>324.10899999999981</v>
      </c>
      <c r="BJ100" s="131">
        <f t="shared" ref="BJ100:BK100" si="372">BJ101-BJ102-BJ103</f>
        <v>511.19</v>
      </c>
      <c r="BK100" s="131">
        <f t="shared" si="372"/>
        <v>148.95500000000007</v>
      </c>
      <c r="BL100" s="131">
        <f t="shared" ref="BL100:BP100" si="373">BL101-BL102-BL103</f>
        <v>224.65499999999997</v>
      </c>
      <c r="BM100" s="131">
        <f t="shared" si="373"/>
        <v>371.49299999999999</v>
      </c>
      <c r="BN100" s="131">
        <f>BN101-BN102-BN103</f>
        <v>1806.1969999999997</v>
      </c>
      <c r="BO100" s="131">
        <f t="shared" si="373"/>
        <v>1579.6210000000001</v>
      </c>
      <c r="BP100" s="131">
        <f t="shared" si="373"/>
        <v>1600.0829999999999</v>
      </c>
      <c r="BQ100" s="131">
        <f>BQ101-BQ102-BQ103</f>
        <v>2073.9230000000002</v>
      </c>
      <c r="BR100" s="131">
        <f>BR101-BR102-BR103</f>
        <v>3576.2589999999996</v>
      </c>
    </row>
    <row r="101" spans="1:71" x14ac:dyDescent="0.25">
      <c r="A101" s="62" t="s">
        <v>202</v>
      </c>
      <c r="B101" s="18">
        <f t="shared" ref="B101:H103" si="374">B96</f>
        <v>164.245</v>
      </c>
      <c r="C101" s="18">
        <f t="shared" si="374"/>
        <v>266.94600000000003</v>
      </c>
      <c r="D101" s="18">
        <f t="shared" si="374"/>
        <v>324.22199999999998</v>
      </c>
      <c r="E101" s="18">
        <f t="shared" si="374"/>
        <v>394.49200000000002</v>
      </c>
      <c r="F101" s="18">
        <f t="shared" si="374"/>
        <v>442.06</v>
      </c>
      <c r="G101" s="18">
        <f t="shared" si="374"/>
        <v>316.20800000000003</v>
      </c>
      <c r="H101" s="18">
        <f t="shared" si="374"/>
        <v>266.53100000000001</v>
      </c>
      <c r="I101" s="18">
        <f>AN101</f>
        <v>324.78899999999999</v>
      </c>
      <c r="J101" s="18">
        <f>AR101</f>
        <v>473.44400000000002</v>
      </c>
      <c r="K101" s="18">
        <f>AV101</f>
        <v>641.55499999999995</v>
      </c>
      <c r="L101" s="18">
        <f>AZ101</f>
        <v>799.7</v>
      </c>
      <c r="M101" s="18">
        <f>BD101</f>
        <v>1096.07</v>
      </c>
      <c r="N101" s="126">
        <f>BH101</f>
        <v>1272.5119999999999</v>
      </c>
      <c r="O101" s="126">
        <f>BL101</f>
        <v>2066.8789999999999</v>
      </c>
      <c r="P101" s="126">
        <f>BP101</f>
        <v>4660.9629999999997</v>
      </c>
      <c r="Q101" s="1"/>
      <c r="R101" s="19">
        <f>AM101</f>
        <v>307.66000000000003</v>
      </c>
      <c r="S101" s="19">
        <f>AQ101</f>
        <v>426.83800000000002</v>
      </c>
      <c r="T101" s="19">
        <f>AU101</f>
        <v>616.58299999999997</v>
      </c>
      <c r="U101" s="19">
        <f>AY101</f>
        <v>901.87400000000002</v>
      </c>
      <c r="V101" s="19">
        <f>BC101</f>
        <v>1153.069</v>
      </c>
      <c r="W101" s="19">
        <f>BG101</f>
        <v>1262.424</v>
      </c>
      <c r="X101" s="19">
        <f>BK101</f>
        <v>1970.577</v>
      </c>
      <c r="Y101" s="19">
        <f>BO101</f>
        <v>4095.819</v>
      </c>
      <c r="Z101" s="1"/>
      <c r="AA101" s="19">
        <f>AL101</f>
        <v>325.12799999999999</v>
      </c>
      <c r="AB101" s="19">
        <f>AP101</f>
        <v>365.55099999999999</v>
      </c>
      <c r="AC101" s="19">
        <f>AT101</f>
        <v>617.65099999999995</v>
      </c>
      <c r="AD101" s="19">
        <f>AX101</f>
        <v>956.98400000000004</v>
      </c>
      <c r="AE101" s="19">
        <f>BB101</f>
        <v>1407.9559999999999</v>
      </c>
      <c r="AF101" s="19">
        <f>BF101</f>
        <v>1348.893</v>
      </c>
      <c r="AG101" s="19">
        <f>BJ101</f>
        <v>1972.6420000000001</v>
      </c>
      <c r="AH101" s="19">
        <f>BN101</f>
        <v>4064.3409999999999</v>
      </c>
      <c r="AI101" s="19">
        <f>BR101</f>
        <v>5121.1639999999998</v>
      </c>
      <c r="AJ101" s="1"/>
      <c r="AK101" s="126">
        <f t="shared" ref="AK101:AY101" si="375">AK96</f>
        <v>268.00599999999997</v>
      </c>
      <c r="AL101" s="126">
        <f t="shared" si="375"/>
        <v>325.12799999999999</v>
      </c>
      <c r="AM101" s="126">
        <f t="shared" si="375"/>
        <v>307.66000000000003</v>
      </c>
      <c r="AN101" s="126">
        <f t="shared" si="375"/>
        <v>324.78899999999999</v>
      </c>
      <c r="AO101" s="126">
        <f t="shared" si="375"/>
        <v>289.81599999999997</v>
      </c>
      <c r="AP101" s="126">
        <f t="shared" si="375"/>
        <v>365.55099999999999</v>
      </c>
      <c r="AQ101" s="126">
        <f t="shared" si="375"/>
        <v>426.83800000000002</v>
      </c>
      <c r="AR101" s="126">
        <f t="shared" si="375"/>
        <v>473.44400000000002</v>
      </c>
      <c r="AS101" s="126">
        <f t="shared" si="375"/>
        <v>533.899</v>
      </c>
      <c r="AT101" s="126">
        <f t="shared" si="375"/>
        <v>617.65099999999995</v>
      </c>
      <c r="AU101" s="126">
        <f t="shared" si="375"/>
        <v>616.58299999999997</v>
      </c>
      <c r="AV101" s="126">
        <f t="shared" si="375"/>
        <v>641.55499999999995</v>
      </c>
      <c r="AW101" s="126">
        <f t="shared" si="375"/>
        <v>970.06399999999996</v>
      </c>
      <c r="AX101" s="126">
        <f t="shared" si="375"/>
        <v>956.98400000000004</v>
      </c>
      <c r="AY101" s="126">
        <f t="shared" si="375"/>
        <v>901.87400000000002</v>
      </c>
      <c r="AZ101" s="126">
        <f t="shared" ref="AZ101:BE101" si="376">AZ96</f>
        <v>799.7</v>
      </c>
      <c r="BA101" s="126">
        <f t="shared" si="376"/>
        <v>1282.921</v>
      </c>
      <c r="BB101" s="126">
        <f t="shared" si="376"/>
        <v>1407.9559999999999</v>
      </c>
      <c r="BC101" s="126">
        <f t="shared" si="376"/>
        <v>1153.069</v>
      </c>
      <c r="BD101" s="126">
        <f t="shared" si="376"/>
        <v>1096.07</v>
      </c>
      <c r="BE101" s="126">
        <f t="shared" si="376"/>
        <v>1284.5480469500003</v>
      </c>
      <c r="BF101" s="126">
        <f t="shared" ref="BF101:BG101" si="377">BF96</f>
        <v>1348.893</v>
      </c>
      <c r="BG101" s="126">
        <f t="shared" si="377"/>
        <v>1262.424</v>
      </c>
      <c r="BH101" s="126">
        <f>BH96</f>
        <v>1272.5119999999999</v>
      </c>
      <c r="BI101" s="126">
        <f t="shared" ref="BI101" si="378">BI96</f>
        <v>1409.4849999999999</v>
      </c>
      <c r="BJ101" s="126">
        <f t="shared" ref="BJ101:BK101" si="379">BJ96</f>
        <v>1972.6420000000001</v>
      </c>
      <c r="BK101" s="126">
        <f t="shared" si="379"/>
        <v>1970.577</v>
      </c>
      <c r="BL101" s="126">
        <f t="shared" ref="BL101:BP101" si="380">BL96</f>
        <v>2066.8789999999999</v>
      </c>
      <c r="BM101" s="126">
        <f t="shared" si="380"/>
        <v>2208.259</v>
      </c>
      <c r="BN101" s="126">
        <f t="shared" si="380"/>
        <v>4064.3409999999999</v>
      </c>
      <c r="BO101" s="126">
        <f t="shared" si="380"/>
        <v>4095.819</v>
      </c>
      <c r="BP101" s="126">
        <f t="shared" si="380"/>
        <v>4660.9629999999997</v>
      </c>
      <c r="BQ101" s="126">
        <f>BQ96</f>
        <v>4735.7470000000003</v>
      </c>
      <c r="BR101" s="126">
        <f>BR96</f>
        <v>5121.1639999999998</v>
      </c>
    </row>
    <row r="102" spans="1:71" x14ac:dyDescent="0.25">
      <c r="A102" s="62" t="s">
        <v>203</v>
      </c>
      <c r="B102" s="18">
        <f t="shared" si="374"/>
        <v>19.27</v>
      </c>
      <c r="C102" s="18">
        <f t="shared" si="374"/>
        <v>49.475999999999999</v>
      </c>
      <c r="D102" s="18">
        <f t="shared" si="374"/>
        <v>49.704999999999998</v>
      </c>
      <c r="E102" s="18">
        <f t="shared" si="374"/>
        <v>37.299999999999997</v>
      </c>
      <c r="F102" s="18">
        <f t="shared" si="374"/>
        <v>39.03</v>
      </c>
      <c r="G102" s="18">
        <f t="shared" si="374"/>
        <v>37.252000000000002</v>
      </c>
      <c r="H102" s="18">
        <f t="shared" si="374"/>
        <v>35.869999999999997</v>
      </c>
      <c r="I102" s="18">
        <f>AN102</f>
        <v>136.84700000000001</v>
      </c>
      <c r="J102" s="18">
        <f>AR102</f>
        <v>168.91</v>
      </c>
      <c r="K102" s="18">
        <f>AV102</f>
        <v>252.69200000000001</v>
      </c>
      <c r="L102" s="18">
        <f>AZ102</f>
        <v>204.345</v>
      </c>
      <c r="M102" s="18">
        <f>BD102</f>
        <v>515.68071981000003</v>
      </c>
      <c r="N102" s="126">
        <f>BH102</f>
        <v>1225.934</v>
      </c>
      <c r="O102" s="126">
        <f t="shared" ref="O102:O103" si="381">BL102</f>
        <v>1772.2619999999999</v>
      </c>
      <c r="P102" s="126">
        <f>BP102</f>
        <v>2755.4259999999999</v>
      </c>
      <c r="Q102" s="19"/>
      <c r="R102" s="19">
        <f>AM102</f>
        <v>61.381999999999998</v>
      </c>
      <c r="S102" s="19">
        <f>AQ102</f>
        <v>80.42</v>
      </c>
      <c r="T102" s="19">
        <f>AU102</f>
        <v>135.262</v>
      </c>
      <c r="U102" s="19">
        <f>AY102</f>
        <v>323.733</v>
      </c>
      <c r="V102" s="19">
        <f>BC102</f>
        <v>711.51456496000003</v>
      </c>
      <c r="W102" s="19">
        <f>BG102</f>
        <v>1146.0899999999999</v>
      </c>
      <c r="X102" s="19">
        <f>BK102</f>
        <v>1645.9169999999999</v>
      </c>
      <c r="Y102" s="19">
        <f>BO102</f>
        <v>2169.6759999999999</v>
      </c>
      <c r="Z102" s="19"/>
      <c r="AA102" s="19">
        <f>AL102</f>
        <v>20.448</v>
      </c>
      <c r="AB102" s="19">
        <f>AP102</f>
        <v>54.899000000000001</v>
      </c>
      <c r="AC102" s="19">
        <f>AT102</f>
        <v>91.402000000000001</v>
      </c>
      <c r="AD102" s="19">
        <f>AX102</f>
        <v>161.89599999999999</v>
      </c>
      <c r="AE102" s="19">
        <f>BB102</f>
        <v>397.71499999999997</v>
      </c>
      <c r="AF102" s="19">
        <f>BF102</f>
        <v>595.42929347000006</v>
      </c>
      <c r="AG102" s="19">
        <f>BJ102</f>
        <v>1633.854</v>
      </c>
      <c r="AH102" s="19">
        <f>BN102</f>
        <v>1846.789</v>
      </c>
      <c r="AI102" s="19">
        <f t="shared" ref="AI102:AI103" si="382">BR102</f>
        <v>1422.05</v>
      </c>
      <c r="AJ102" s="19"/>
      <c r="AK102" s="126">
        <f t="shared" ref="AK102:AX102" si="383">AK97</f>
        <v>41.402999999999999</v>
      </c>
      <c r="AL102" s="126">
        <f t="shared" si="383"/>
        <v>20.448</v>
      </c>
      <c r="AM102" s="126">
        <f t="shared" si="383"/>
        <v>61.381999999999998</v>
      </c>
      <c r="AN102" s="126">
        <f t="shared" si="383"/>
        <v>136.84700000000001</v>
      </c>
      <c r="AO102" s="126">
        <f t="shared" si="383"/>
        <v>71.307000000000002</v>
      </c>
      <c r="AP102" s="126">
        <f t="shared" si="383"/>
        <v>54.899000000000001</v>
      </c>
      <c r="AQ102" s="126">
        <f t="shared" si="383"/>
        <v>80.42</v>
      </c>
      <c r="AR102" s="126">
        <f t="shared" si="383"/>
        <v>168.91</v>
      </c>
      <c r="AS102" s="126">
        <f t="shared" si="383"/>
        <v>101.248</v>
      </c>
      <c r="AT102" s="126">
        <f t="shared" si="383"/>
        <v>91.402000000000001</v>
      </c>
      <c r="AU102" s="126">
        <f t="shared" si="383"/>
        <v>135.262</v>
      </c>
      <c r="AV102" s="126">
        <f t="shared" si="383"/>
        <v>252.69200000000001</v>
      </c>
      <c r="AW102" s="126">
        <f t="shared" si="383"/>
        <v>547.19299999999998</v>
      </c>
      <c r="AX102" s="126">
        <f t="shared" si="383"/>
        <v>161.89599999999999</v>
      </c>
      <c r="AY102" s="126">
        <f>((Ativo!AB8+Ativo!AB9)-(1006028))/1000</f>
        <v>323.733</v>
      </c>
      <c r="AZ102" s="126">
        <f>((Ativo!AC8+Ativo!AC9)-(886247))/1000</f>
        <v>204.345</v>
      </c>
      <c r="BA102" s="126">
        <f>((Ativo!AE8+Ativo!AE9)-(865596))/1000</f>
        <v>445.05</v>
      </c>
      <c r="BB102" s="126">
        <f>((Ativo!AF8+Ativo!AF9)-(507056))/1000</f>
        <v>397.71499999999997</v>
      </c>
      <c r="BC102" s="126">
        <f>((Ativo!AG8+Ativo!AG9)-(518761.43504))/1000</f>
        <v>711.51456496000003</v>
      </c>
      <c r="BD102" s="126">
        <f>((Ativo!AH8+Ativo!AH9)-(363474.28019))/1000</f>
        <v>515.68071981000003</v>
      </c>
      <c r="BE102" s="126">
        <f>((Ativo!AJ8+Ativo!AJ9)-(329995.87574))/1000</f>
        <v>761.91110341000001</v>
      </c>
      <c r="BF102" s="126">
        <f>((Ativo!AK8+Ativo!AK9)-(216417.70653))/1000</f>
        <v>595.42929347000006</v>
      </c>
      <c r="BG102" s="126">
        <f>(Ativo!AL8+Ativo!AL9)/1000</f>
        <v>1146.0899999999999</v>
      </c>
      <c r="BH102" s="126">
        <f>(Ativo!AM8+Ativo!AM9)/1000</f>
        <v>1225.934</v>
      </c>
      <c r="BI102" s="126">
        <f>(Ativo!AO8+Ativo!AO9)/1000</f>
        <v>1081.7180000000001</v>
      </c>
      <c r="BJ102" s="126">
        <f>(Ativo!AP8+Ativo!AP9)/1000</f>
        <v>1633.854</v>
      </c>
      <c r="BK102" s="126">
        <f>(Ativo!AQ8+Ativo!AQ9)/1000</f>
        <v>1645.9169999999999</v>
      </c>
      <c r="BL102" s="126">
        <f>(Ativo!AR8+Ativo!AR9)/1000</f>
        <v>1772.2619999999999</v>
      </c>
      <c r="BM102" s="126">
        <f>(Ativo!AT8+Ativo!AT9)/1000</f>
        <v>1654.884</v>
      </c>
      <c r="BN102" s="126">
        <f>(Ativo!AU8+Ativo!AU9)/1000</f>
        <v>1846.789</v>
      </c>
      <c r="BO102" s="126">
        <f>(Ativo!AV8+Ativo!AV9)/1000</f>
        <v>2169.6759999999999</v>
      </c>
      <c r="BP102" s="126">
        <f>(Ativo!AW8+Ativo!AW9)/1000</f>
        <v>2755.4259999999999</v>
      </c>
      <c r="BQ102" s="126">
        <f>(Ativo!AY8+Ativo!AY9)/1000</f>
        <v>2590.4490000000001</v>
      </c>
      <c r="BR102" s="126">
        <f>(Ativo!AZ8+Ativo!AZ9)/1000</f>
        <v>1422.05</v>
      </c>
    </row>
    <row r="103" spans="1:71" x14ac:dyDescent="0.25">
      <c r="A103" s="62" t="s">
        <v>276</v>
      </c>
      <c r="B103" s="115">
        <f t="shared" si="374"/>
        <v>-6.4749999999999996</v>
      </c>
      <c r="C103" s="115">
        <f t="shared" si="374"/>
        <v>40.805999999999997</v>
      </c>
      <c r="D103" s="115">
        <f t="shared" si="374"/>
        <v>-19.709</v>
      </c>
      <c r="E103" s="115">
        <f t="shared" si="374"/>
        <v>-33.438000000000002</v>
      </c>
      <c r="F103" s="115">
        <f t="shared" si="374"/>
        <v>15.912000000000001</v>
      </c>
      <c r="G103" s="115">
        <f t="shared" si="374"/>
        <v>1.649</v>
      </c>
      <c r="H103" s="115">
        <f t="shared" si="374"/>
        <v>-2.7410000000000001</v>
      </c>
      <c r="I103" s="115">
        <f>AN103</f>
        <v>18.834</v>
      </c>
      <c r="J103" s="115">
        <f>AR103</f>
        <v>12.894</v>
      </c>
      <c r="K103" s="115">
        <f>AV103</f>
        <v>-19.919</v>
      </c>
      <c r="L103" s="115">
        <f>AZ103</f>
        <v>-14.313000000000001</v>
      </c>
      <c r="M103" s="115">
        <f>BD103</f>
        <v>44.695999999999998</v>
      </c>
      <c r="N103" s="126">
        <f>BH103</f>
        <v>89.466999999999999</v>
      </c>
      <c r="O103" s="126">
        <f t="shared" si="381"/>
        <v>69.962000000000003</v>
      </c>
      <c r="P103" s="126">
        <f>BP103</f>
        <v>305.45400000000001</v>
      </c>
      <c r="Q103" s="19"/>
      <c r="R103" s="115">
        <f>AM103</f>
        <v>-102.26600000000001</v>
      </c>
      <c r="S103" s="115">
        <f>AQ103</f>
        <v>-157.327</v>
      </c>
      <c r="T103" s="115">
        <f>AU103</f>
        <v>-52.94</v>
      </c>
      <c r="U103" s="115">
        <f>AY103</f>
        <v>4.5839999999999996</v>
      </c>
      <c r="V103" s="115">
        <f>BC103</f>
        <v>25.456</v>
      </c>
      <c r="W103" s="115">
        <f>BG103</f>
        <v>63.595999999999997</v>
      </c>
      <c r="X103" s="115">
        <f>BK103</f>
        <v>175.70500000000001</v>
      </c>
      <c r="Y103" s="115">
        <f>BO103</f>
        <v>346.52199999999999</v>
      </c>
      <c r="Z103" s="19"/>
      <c r="AA103" s="115">
        <f>AL103</f>
        <v>-314.64800000000002</v>
      </c>
      <c r="AB103" s="115">
        <f>AP103</f>
        <v>-348.36399999999998</v>
      </c>
      <c r="AC103" s="115">
        <f>AT103</f>
        <v>-36.277999999999999</v>
      </c>
      <c r="AD103" s="115">
        <f>AX103</f>
        <v>-73.718999999999994</v>
      </c>
      <c r="AE103" s="115">
        <f>BB103</f>
        <v>-5.8049999999999997</v>
      </c>
      <c r="AF103" s="115">
        <f>BF103</f>
        <v>-27.663</v>
      </c>
      <c r="AG103" s="115">
        <f>BJ103</f>
        <v>-172.40199999999999</v>
      </c>
      <c r="AH103" s="115">
        <f>BN103</f>
        <v>411.35500000000002</v>
      </c>
      <c r="AI103" s="19">
        <f t="shared" si="382"/>
        <v>122.855</v>
      </c>
      <c r="AJ103" s="19"/>
      <c r="AK103" s="115">
        <f t="shared" ref="AK103:AV103" si="384">AK98</f>
        <v>-290.12799999999999</v>
      </c>
      <c r="AL103" s="115">
        <f t="shared" si="384"/>
        <v>-314.64800000000002</v>
      </c>
      <c r="AM103" s="115">
        <f t="shared" si="384"/>
        <v>-102.26600000000001</v>
      </c>
      <c r="AN103" s="115">
        <f t="shared" si="384"/>
        <v>18.834</v>
      </c>
      <c r="AO103" s="115">
        <f t="shared" si="384"/>
        <v>-426.74200000000002</v>
      </c>
      <c r="AP103" s="115">
        <f t="shared" si="384"/>
        <v>-348.36399999999998</v>
      </c>
      <c r="AQ103" s="115">
        <f t="shared" si="384"/>
        <v>-157.327</v>
      </c>
      <c r="AR103" s="115">
        <f t="shared" si="384"/>
        <v>12.894</v>
      </c>
      <c r="AS103" s="115">
        <f t="shared" si="384"/>
        <v>-19.234999999999999</v>
      </c>
      <c r="AT103" s="115">
        <f t="shared" si="384"/>
        <v>-36.277999999999999</v>
      </c>
      <c r="AU103" s="115">
        <f t="shared" si="384"/>
        <v>-52.94</v>
      </c>
      <c r="AV103" s="115">
        <f t="shared" si="384"/>
        <v>-19.919</v>
      </c>
      <c r="AW103" s="115">
        <f>((Ativo!Z17+Ativo!Z29)-(Passivo!Z13+Passivo!Z27))/1000</f>
        <v>-76.567999999999998</v>
      </c>
      <c r="AX103" s="115">
        <f>((Ativo!AA17+Ativo!AA29)-(Passivo!AA13+Passivo!AA27))/1000</f>
        <v>-73.718999999999994</v>
      </c>
      <c r="AY103" s="115">
        <f>((Ativo!AB17+Ativo!AB29)-(Passivo!AB13+Passivo!AB27))/1000</f>
        <v>4.5839999999999996</v>
      </c>
      <c r="AZ103" s="115">
        <f>((Ativo!AC17+Ativo!AC29)-(Passivo!AC13+Passivo!AC27))/1000</f>
        <v>-14.313000000000001</v>
      </c>
      <c r="BA103" s="115">
        <f>((Ativo!AE17+Ativo!AE29)-(Passivo!AE13+Passivo!AE27))/1000</f>
        <v>57.26</v>
      </c>
      <c r="BB103" s="115">
        <f>((Ativo!AF17+Ativo!AF29)-(Passivo!AF13+Passivo!AF27))/1000</f>
        <v>-5.8049999999999997</v>
      </c>
      <c r="BC103" s="115">
        <f>((Ativo!AG17+Ativo!AG29)-(Passivo!AG13+Passivo!AG27))/1000</f>
        <v>25.456</v>
      </c>
      <c r="BD103" s="115">
        <f>((Ativo!AH17+Ativo!AH29)-(Passivo!AH13+Passivo!AH27))/1000</f>
        <v>44.695999999999998</v>
      </c>
      <c r="BE103" s="115">
        <f>((Ativo!AJ17+Ativo!AJ29)-(Passivo!AJ13+Passivo!AJ27))/1000</f>
        <v>5.4053067000000006</v>
      </c>
      <c r="BF103" s="115">
        <f>((Ativo!AK17+Ativo!AK29)-(Passivo!AK13+Passivo!AK27))/1000</f>
        <v>-27.663</v>
      </c>
      <c r="BG103" s="115">
        <f>((Ativo!AL17+Ativo!AL29)-(Passivo!AL13+Passivo!AL27))/1000</f>
        <v>63.595999999999997</v>
      </c>
      <c r="BH103" s="115">
        <f>((Ativo!AM17+Ativo!AM29)-(Passivo!AM13+Passivo!AM27))/1000</f>
        <v>89.466999999999999</v>
      </c>
      <c r="BI103" s="115">
        <f>((Ativo!AO17+Ativo!AO29)-(Passivo!AO13+Passivo!AO27))/1000</f>
        <v>3.6579999999999999</v>
      </c>
      <c r="BJ103" s="115">
        <f>((Ativo!AP17+Ativo!AP29)-(Passivo!AP13+Passivo!AP27))/1000</f>
        <v>-172.40199999999999</v>
      </c>
      <c r="BK103" s="115">
        <f>((Ativo!AQ17+Ativo!AQ29)-(Passivo!AQ13+Passivo!AQ27))/1000</f>
        <v>175.70500000000001</v>
      </c>
      <c r="BL103" s="115">
        <f>((Ativo!AR17+Ativo!AR29)-(Passivo!AR13+Passivo!AR27))/1000</f>
        <v>69.962000000000003</v>
      </c>
      <c r="BM103" s="115">
        <f>((Ativo!AT17+Ativo!AT29)-(Passivo!AT13+Passivo!AT27))/1000</f>
        <v>181.88200000000001</v>
      </c>
      <c r="BN103" s="115">
        <f>((Ativo!AU17+Ativo!AU29)-(Passivo!AU13+Passivo!AU27))/1000</f>
        <v>411.35500000000002</v>
      </c>
      <c r="BO103" s="115">
        <f>((Ativo!AV17+Ativo!AV29)-(Passivo!AV13+Passivo!AV27))/1000</f>
        <v>346.52199999999999</v>
      </c>
      <c r="BP103" s="115">
        <f>((Ativo!AW17+Ativo!AW29)-(Passivo!AW13+Passivo!AW27))/1000</f>
        <v>305.45400000000001</v>
      </c>
      <c r="BQ103" s="115">
        <f>((Ativo!AY17+Ativo!AY29)-(Passivo!AY13+Passivo!AY27))/1000</f>
        <v>71.375</v>
      </c>
      <c r="BR103" s="115">
        <f>((Ativo!AZ17+Ativo!AZ29)-(Passivo!AZ13+Passivo!AZ27))/1000</f>
        <v>122.855</v>
      </c>
    </row>
    <row r="104" spans="1:71" x14ac:dyDescent="0.25"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32"/>
      <c r="BH104" s="132"/>
      <c r="BI104" s="132"/>
      <c r="BJ104" s="132"/>
      <c r="BK104" s="132"/>
      <c r="BL104" s="132"/>
      <c r="BM104" s="132"/>
      <c r="BN104" s="132"/>
    </row>
    <row r="105" spans="1:71" x14ac:dyDescent="0.25">
      <c r="A105" s="66" t="s">
        <v>205</v>
      </c>
      <c r="B105" s="92"/>
      <c r="C105" s="92">
        <f t="shared" ref="C105:H105" si="385">C106/AVERAGE(B107:C107)</f>
        <v>0.19922211964828912</v>
      </c>
      <c r="D105" s="92">
        <f t="shared" si="385"/>
        <v>0.15175463946022691</v>
      </c>
      <c r="E105" s="92">
        <f t="shared" si="385"/>
        <v>0.29227679343000007</v>
      </c>
      <c r="F105" s="92">
        <f t="shared" si="385"/>
        <v>0.16762379901591262</v>
      </c>
      <c r="G105" s="92">
        <f t="shared" si="385"/>
        <v>0.27487785779669799</v>
      </c>
      <c r="H105" s="92">
        <f t="shared" si="385"/>
        <v>0.3216411127402522</v>
      </c>
      <c r="I105" s="92">
        <f>AN105</f>
        <v>0.58986782783728553</v>
      </c>
      <c r="J105" s="92">
        <f>AR105</f>
        <v>0.41694307254319196</v>
      </c>
      <c r="K105" s="92">
        <f>AV105</f>
        <v>0.52476979013020064</v>
      </c>
      <c r="L105" s="92">
        <f>AZ105</f>
        <v>0.29118097003594717</v>
      </c>
      <c r="M105" s="92">
        <f>BD105</f>
        <v>0.22542138340289625</v>
      </c>
      <c r="N105" s="92">
        <f>BH105</f>
        <v>0.18574463127062005</v>
      </c>
      <c r="O105" s="92">
        <f>BL105</f>
        <v>0.20153446661304777</v>
      </c>
      <c r="P105" s="92">
        <f>BP105</f>
        <v>0.17911663958429472</v>
      </c>
      <c r="R105" s="92">
        <f t="shared" ref="R105:S107" si="386">AP105</f>
        <v>0.44548581180506575</v>
      </c>
      <c r="S105" s="92">
        <f t="shared" si="386"/>
        <v>0.44908349976930201</v>
      </c>
      <c r="T105" s="92">
        <f>AU105</f>
        <v>0.49343986120429456</v>
      </c>
      <c r="U105" s="92">
        <f>AY105</f>
        <v>0.35377740293931609</v>
      </c>
      <c r="V105" s="92">
        <f>BC105</f>
        <v>0.21531453984651663</v>
      </c>
      <c r="W105" s="92">
        <f>BG105</f>
        <v>0.21048429017625156</v>
      </c>
      <c r="X105" s="92">
        <f>BK105</f>
        <v>0.22240245783453969</v>
      </c>
      <c r="Y105" s="92">
        <f>BL105</f>
        <v>0.20153446661304777</v>
      </c>
      <c r="AB105" s="92">
        <f>AP105</f>
        <v>0.44548581180506575</v>
      </c>
      <c r="AC105" s="92">
        <f>AT105</f>
        <v>0.35864877110191873</v>
      </c>
      <c r="AD105" s="92">
        <f>AX105</f>
        <v>0.56757899638594855</v>
      </c>
      <c r="AE105" s="92">
        <f>BB105</f>
        <v>0.19634114271816089</v>
      </c>
      <c r="AF105" s="92">
        <f>BF105</f>
        <v>0.20403504460605709</v>
      </c>
      <c r="AG105" s="92">
        <f>BJ105</f>
        <v>0.20509726844013723</v>
      </c>
      <c r="AH105" s="92">
        <f>BN105</f>
        <v>0.23514622385219364</v>
      </c>
      <c r="AI105" s="92">
        <f>BR105</f>
        <v>0.1201640913019979</v>
      </c>
      <c r="AK105" s="92"/>
      <c r="AL105" s="92"/>
      <c r="AM105" s="92"/>
      <c r="AN105" s="92">
        <f>AN106/AVERAGE(AK107:AN107)</f>
        <v>0.58986782783728553</v>
      </c>
      <c r="AO105" s="92">
        <f>AO106/AVERAGE(AL107:AO107)</f>
        <v>0.51981541954956523</v>
      </c>
      <c r="AP105" s="92">
        <f t="shared" ref="AP105:BL105" si="387">AP106/AVERAGE(AM107:AP107)</f>
        <v>0.44548581180506575</v>
      </c>
      <c r="AQ105" s="92">
        <f t="shared" si="387"/>
        <v>0.44908349976930201</v>
      </c>
      <c r="AR105" s="92">
        <f t="shared" si="387"/>
        <v>0.41694307254319196</v>
      </c>
      <c r="AS105" s="92">
        <f t="shared" si="387"/>
        <v>0.35860642798509818</v>
      </c>
      <c r="AT105" s="92">
        <f t="shared" si="387"/>
        <v>0.35864877110191873</v>
      </c>
      <c r="AU105" s="92">
        <f t="shared" si="387"/>
        <v>0.49343986120429456</v>
      </c>
      <c r="AV105" s="92">
        <f t="shared" si="387"/>
        <v>0.52476979013020064</v>
      </c>
      <c r="AW105" s="92">
        <f t="shared" si="387"/>
        <v>0.52662171020790727</v>
      </c>
      <c r="AX105" s="92">
        <f t="shared" si="387"/>
        <v>0.56757899638594855</v>
      </c>
      <c r="AY105" s="92">
        <f t="shared" si="387"/>
        <v>0.35377740293931609</v>
      </c>
      <c r="AZ105" s="92">
        <f t="shared" si="387"/>
        <v>0.29118097003594717</v>
      </c>
      <c r="BA105" s="92">
        <f t="shared" si="387"/>
        <v>0.23374580453966198</v>
      </c>
      <c r="BB105" s="92">
        <f t="shared" si="387"/>
        <v>0.19634114271816089</v>
      </c>
      <c r="BC105" s="92">
        <f t="shared" si="387"/>
        <v>0.21531453984651663</v>
      </c>
      <c r="BD105" s="92">
        <f t="shared" si="387"/>
        <v>0.22542138340289625</v>
      </c>
      <c r="BE105" s="92">
        <f t="shared" si="387"/>
        <v>0.230764843814732</v>
      </c>
      <c r="BF105" s="92">
        <f t="shared" si="387"/>
        <v>0.20403504460605709</v>
      </c>
      <c r="BG105" s="92">
        <f t="shared" si="387"/>
        <v>0.21048429017625156</v>
      </c>
      <c r="BH105" s="92">
        <f t="shared" si="387"/>
        <v>0.18574463127062005</v>
      </c>
      <c r="BI105" s="92">
        <f t="shared" si="387"/>
        <v>0.19407547529247321</v>
      </c>
      <c r="BJ105" s="92">
        <f t="shared" si="387"/>
        <v>0.20509726844013723</v>
      </c>
      <c r="BK105" s="92">
        <f t="shared" si="387"/>
        <v>0.22240245783453969</v>
      </c>
      <c r="BL105" s="92">
        <f t="shared" si="387"/>
        <v>0.20153446661304777</v>
      </c>
      <c r="BM105" s="92">
        <f t="shared" ref="BM105:BR105" si="388">BM106/AVERAGE(BJ107:BM107)</f>
        <v>0.2014249165671845</v>
      </c>
      <c r="BN105" s="92">
        <f t="shared" si="388"/>
        <v>0.23514622385219364</v>
      </c>
      <c r="BO105" s="92">
        <f t="shared" si="388"/>
        <v>0.19814815091440524</v>
      </c>
      <c r="BP105" s="92">
        <f t="shared" si="388"/>
        <v>0.17911663958429472</v>
      </c>
      <c r="BQ105" s="92">
        <f t="shared" si="388"/>
        <v>0.15022144093019488</v>
      </c>
      <c r="BR105" s="92">
        <f t="shared" si="388"/>
        <v>0.1201640913019979</v>
      </c>
    </row>
    <row r="106" spans="1:71" x14ac:dyDescent="0.25">
      <c r="A106" s="62" t="s">
        <v>277</v>
      </c>
      <c r="B106" s="28">
        <f>B92</f>
        <v>11.135</v>
      </c>
      <c r="C106" s="28">
        <f t="shared" ref="C106:L106" si="389">C92</f>
        <v>13.164</v>
      </c>
      <c r="D106" s="28">
        <f t="shared" si="389"/>
        <v>12.077999999999999</v>
      </c>
      <c r="E106" s="28">
        <f t="shared" si="389"/>
        <v>24.521000000000001</v>
      </c>
      <c r="F106" s="28">
        <f t="shared" si="389"/>
        <v>12.23</v>
      </c>
      <c r="G106" s="28">
        <f t="shared" si="389"/>
        <v>24.923999999999999</v>
      </c>
      <c r="H106" s="28">
        <f t="shared" si="389"/>
        <v>48.48</v>
      </c>
      <c r="I106" s="28">
        <f t="shared" si="389"/>
        <v>143.59299999999999</v>
      </c>
      <c r="J106" s="28">
        <f t="shared" si="389"/>
        <v>141.51100000000002</v>
      </c>
      <c r="K106" s="28">
        <f t="shared" si="389"/>
        <v>293.24700000000001</v>
      </c>
      <c r="L106" s="28">
        <f t="shared" si="389"/>
        <v>430.30600000000004</v>
      </c>
      <c r="M106" s="28">
        <f>M92</f>
        <v>571.17399999999998</v>
      </c>
      <c r="N106" s="28">
        <f>N92</f>
        <v>573.80200000000002</v>
      </c>
      <c r="O106" s="28">
        <f>O92</f>
        <v>756.36500000000001</v>
      </c>
      <c r="P106" s="28">
        <f>P92</f>
        <v>808.69899999999996</v>
      </c>
      <c r="R106" s="18">
        <f>AP106</f>
        <v>127.90899999999999</v>
      </c>
      <c r="S106" s="18">
        <f>AQ106</f>
        <v>139.184</v>
      </c>
      <c r="T106" s="18">
        <f>AU106</f>
        <v>242.88800000000001</v>
      </c>
      <c r="U106" s="18">
        <f>AY106</f>
        <v>388.012</v>
      </c>
      <c r="V106" s="18">
        <f>BC106</f>
        <v>514.22</v>
      </c>
      <c r="W106" s="18">
        <f>BG106</f>
        <v>622.16300000000001</v>
      </c>
      <c r="X106" s="18">
        <f>BK106</f>
        <v>796.10599999999999</v>
      </c>
      <c r="Y106" s="18">
        <f>BO106</f>
        <v>862.21799999999996</v>
      </c>
      <c r="AB106" s="18">
        <f>AP106</f>
        <v>127.90899999999999</v>
      </c>
      <c r="AC106" s="18">
        <f>AT106</f>
        <v>152.38</v>
      </c>
      <c r="AD106" s="18">
        <f>AX106</f>
        <v>414.41</v>
      </c>
      <c r="AE106" s="18">
        <f>BB106</f>
        <v>442.99499999999995</v>
      </c>
      <c r="AF106" s="18">
        <f>BF106</f>
        <v>573.45799999999997</v>
      </c>
      <c r="AG106" s="28">
        <f>BJ106</f>
        <v>695.596</v>
      </c>
      <c r="AH106" s="28">
        <f>BN106</f>
        <v>977.54899999999998</v>
      </c>
      <c r="AI106" s="28">
        <f>BR106</f>
        <v>576.49599999999998</v>
      </c>
      <c r="AK106" s="18"/>
      <c r="AL106" s="18"/>
      <c r="AM106" s="18"/>
      <c r="AN106" s="18">
        <f>SUM(AK92:AN92)</f>
        <v>143.59299999999999</v>
      </c>
      <c r="AO106" s="18">
        <f t="shared" ref="AO106:BJ106" si="390">SUM(AL92:AO92)</f>
        <v>138.726</v>
      </c>
      <c r="AP106" s="18">
        <f t="shared" si="390"/>
        <v>127.90899999999999</v>
      </c>
      <c r="AQ106" s="18">
        <f t="shared" si="390"/>
        <v>139.184</v>
      </c>
      <c r="AR106" s="18">
        <f t="shared" si="390"/>
        <v>141.51100000000002</v>
      </c>
      <c r="AS106" s="18">
        <f t="shared" si="390"/>
        <v>136.30199999999999</v>
      </c>
      <c r="AT106" s="18">
        <f t="shared" si="390"/>
        <v>152.38</v>
      </c>
      <c r="AU106" s="18">
        <f t="shared" si="390"/>
        <v>242.88800000000001</v>
      </c>
      <c r="AV106" s="18">
        <f t="shared" si="390"/>
        <v>293.24700000000001</v>
      </c>
      <c r="AW106" s="18">
        <f t="shared" si="390"/>
        <v>334.59199999999998</v>
      </c>
      <c r="AX106" s="18">
        <f t="shared" si="390"/>
        <v>414.41</v>
      </c>
      <c r="AY106" s="18">
        <f t="shared" si="390"/>
        <v>388.012</v>
      </c>
      <c r="AZ106" s="18">
        <f t="shared" si="390"/>
        <v>430.30600000000004</v>
      </c>
      <c r="BA106" s="18">
        <f t="shared" si="390"/>
        <v>436.04900000000004</v>
      </c>
      <c r="BB106" s="18">
        <f>SUM(AY92:BB92)</f>
        <v>442.99499999999995</v>
      </c>
      <c r="BC106" s="18">
        <f t="shared" si="390"/>
        <v>514.22</v>
      </c>
      <c r="BD106" s="18">
        <f t="shared" si="390"/>
        <v>571.17399999999998</v>
      </c>
      <c r="BE106" s="18">
        <f>SUM(BB92:BE92)</f>
        <v>617.73119490839963</v>
      </c>
      <c r="BF106" s="18">
        <f>SUM(BC92:BF92)</f>
        <v>573.45799999999997</v>
      </c>
      <c r="BG106" s="18">
        <f>SUM(BD92:BG92)</f>
        <v>622.16300000000001</v>
      </c>
      <c r="BH106" s="18">
        <f>SUM(BE92:BH92)</f>
        <v>573.80200000000002</v>
      </c>
      <c r="BI106" s="18">
        <f t="shared" si="390"/>
        <v>626.90080509160043</v>
      </c>
      <c r="BJ106" s="18">
        <f t="shared" si="390"/>
        <v>695.596</v>
      </c>
      <c r="BK106" s="18">
        <f t="shared" ref="BK106:BP106" si="391">SUM(BH92:BK92)</f>
        <v>796.10599999999999</v>
      </c>
      <c r="BL106" s="18">
        <f t="shared" si="391"/>
        <v>756.36500000000001</v>
      </c>
      <c r="BM106" s="18">
        <f t="shared" si="391"/>
        <v>792.346</v>
      </c>
      <c r="BN106" s="18">
        <f t="shared" si="391"/>
        <v>977.54899999999998</v>
      </c>
      <c r="BO106" s="18">
        <f t="shared" si="391"/>
        <v>862.21799999999996</v>
      </c>
      <c r="BP106" s="18">
        <f t="shared" si="391"/>
        <v>808.69899999999996</v>
      </c>
      <c r="BQ106" s="18">
        <f>SUM(BN92:BQ92)</f>
        <v>701.45499999999993</v>
      </c>
      <c r="BR106" s="18">
        <f>SUM(BO92:BR92)</f>
        <v>576.49599999999998</v>
      </c>
    </row>
    <row r="107" spans="1:71" x14ac:dyDescent="0.25">
      <c r="A107" s="62" t="s">
        <v>206</v>
      </c>
      <c r="B107" s="18">
        <f>Passivo!C31/1000</f>
        <v>58.603999999999999</v>
      </c>
      <c r="C107" s="18">
        <f>Passivo!D31/1000</f>
        <v>73.55</v>
      </c>
      <c r="D107" s="18">
        <f>Passivo!E31/1000</f>
        <v>85.628</v>
      </c>
      <c r="E107" s="18">
        <f>Passivo!F31/1000</f>
        <v>82.165000000000006</v>
      </c>
      <c r="F107" s="18">
        <f>Passivo!G31/1000</f>
        <v>63.756999999999998</v>
      </c>
      <c r="G107" s="18">
        <f>Passivo!H31/1000</f>
        <v>117.589</v>
      </c>
      <c r="H107" s="18">
        <f>Passivo!I31/1000</f>
        <v>183.86500000000001</v>
      </c>
      <c r="I107" s="18">
        <f>AN107</f>
        <v>327.93700000000001</v>
      </c>
      <c r="J107" s="18">
        <f>AR107</f>
        <v>445.82600000000002</v>
      </c>
      <c r="K107" s="18">
        <f>AV107</f>
        <v>712.13199999999995</v>
      </c>
      <c r="L107" s="18">
        <f>AZ107</f>
        <v>2236.2399999999998</v>
      </c>
      <c r="M107" s="18">
        <f>BD107</f>
        <v>2818.5549999999998</v>
      </c>
      <c r="N107" s="18">
        <f>BH107</f>
        <v>3351.8910000000001</v>
      </c>
      <c r="O107" s="18">
        <f>BL107</f>
        <v>4045.7179999999998</v>
      </c>
      <c r="P107" s="18">
        <f>BP107</f>
        <v>4699.9139999999998</v>
      </c>
      <c r="R107" s="28">
        <f t="shared" si="386"/>
        <v>298.78899999999999</v>
      </c>
      <c r="S107" s="28">
        <f t="shared" si="386"/>
        <v>329.214</v>
      </c>
      <c r="T107" s="28">
        <f>AU107</f>
        <v>598.66099999999994</v>
      </c>
      <c r="U107" s="28">
        <f>AY107</f>
        <v>2065.1909999999998</v>
      </c>
      <c r="V107" s="28">
        <f>BC107</f>
        <v>2593.0929999999998</v>
      </c>
      <c r="W107" s="28">
        <f>BG107</f>
        <v>3174.2069999999999</v>
      </c>
      <c r="X107" s="28">
        <f>BK107</f>
        <v>3926.3339999999998</v>
      </c>
      <c r="Y107" s="18">
        <f>BO107</f>
        <v>4703.0709999999999</v>
      </c>
      <c r="AB107" s="28">
        <f>AP107</f>
        <v>298.78899999999999</v>
      </c>
      <c r="AC107" s="28">
        <f>AT107</f>
        <v>477.92700000000002</v>
      </c>
      <c r="AD107" s="28">
        <f>AX107</f>
        <v>857.05</v>
      </c>
      <c r="AE107" s="28">
        <f>BB107</f>
        <v>2420.1210454299999</v>
      </c>
      <c r="AF107" s="28">
        <f>BF107</f>
        <v>2954.92</v>
      </c>
      <c r="AG107" s="28">
        <f>BJ107</f>
        <v>3600.3249999999998</v>
      </c>
      <c r="AH107" s="28">
        <f>BN107</f>
        <v>4494.2939999999999</v>
      </c>
      <c r="AI107" s="28">
        <f>BR107</f>
        <v>5006.6930000000002</v>
      </c>
      <c r="AK107" s="28">
        <f>Passivo!K31/1000</f>
        <v>190.00399999999999</v>
      </c>
      <c r="AL107" s="28">
        <f>Passivo!L31/1000</f>
        <v>217.80099999999999</v>
      </c>
      <c r="AM107" s="28">
        <f>Passivo!M31/1000</f>
        <v>237.988</v>
      </c>
      <c r="AN107" s="28">
        <f>Passivo!N31/1000</f>
        <v>327.93700000000001</v>
      </c>
      <c r="AO107" s="28">
        <f>Passivo!P31/1000</f>
        <v>283.77600000000001</v>
      </c>
      <c r="AP107" s="28">
        <f>Passivo!Q31/1000</f>
        <v>298.78899999999999</v>
      </c>
      <c r="AQ107" s="28">
        <f>Passivo!R31/1000</f>
        <v>329.214</v>
      </c>
      <c r="AR107" s="28">
        <f>Passivo!S31/1000</f>
        <v>445.82600000000002</v>
      </c>
      <c r="AS107" s="28">
        <f>Passivo!U31/1000</f>
        <v>446.52300000000002</v>
      </c>
      <c r="AT107" s="28">
        <f>Passivo!V31/1000</f>
        <v>477.92700000000002</v>
      </c>
      <c r="AU107" s="28">
        <f>Passivo!W31/1000</f>
        <v>598.66099999999994</v>
      </c>
      <c r="AV107" s="28">
        <f>Passivo!X31/1000</f>
        <v>712.13199999999995</v>
      </c>
      <c r="AW107" s="28">
        <f>Passivo!Z31/1000</f>
        <v>752.702</v>
      </c>
      <c r="AX107" s="28">
        <f>Passivo!AA31/1000</f>
        <v>857.05</v>
      </c>
      <c r="AY107" s="28">
        <f>Passivo!AB31/1000</f>
        <v>2065.1909999999998</v>
      </c>
      <c r="AZ107" s="28">
        <f>Passivo!AC31/1000</f>
        <v>2236.2399999999998</v>
      </c>
      <c r="BA107" s="28">
        <f>Passivo!AE31/1000</f>
        <v>2303.4540000100001</v>
      </c>
      <c r="BB107" s="28">
        <f>Passivo!AF31/1000</f>
        <v>2420.1210454299999</v>
      </c>
      <c r="BC107" s="28">
        <f>Passivo!AG31/1000</f>
        <v>2593.0929999999998</v>
      </c>
      <c r="BD107" s="28">
        <f>Passivo!AH31/1000</f>
        <v>2818.5549999999998</v>
      </c>
      <c r="BE107" s="28">
        <f>Passivo!AJ31/1000</f>
        <v>2875.77521819</v>
      </c>
      <c r="BF107" s="28">
        <f>Passivo!AK31/1000</f>
        <v>2954.92</v>
      </c>
      <c r="BG107" s="28">
        <f>Passivo!AL31/1000</f>
        <v>3174.2069999999999</v>
      </c>
      <c r="BH107" s="28">
        <f>Passivo!AM31/1000</f>
        <v>3351.8910000000001</v>
      </c>
      <c r="BI107" s="28">
        <f>Passivo!AO31/1000</f>
        <v>3439.7449999999999</v>
      </c>
      <c r="BJ107" s="28">
        <f>Passivo!AP31/1000</f>
        <v>3600.3249999999998</v>
      </c>
      <c r="BK107" s="28">
        <f>Passivo!AQ31/1000</f>
        <v>3926.3339999999998</v>
      </c>
      <c r="BL107" s="28">
        <f>Passivo!AR31/1000</f>
        <v>4045.7179999999998</v>
      </c>
      <c r="BM107" s="28">
        <f>Passivo!AT31/1000</f>
        <v>4162.4390000000003</v>
      </c>
      <c r="BN107" s="28">
        <f>Passivo!AU31/1000</f>
        <v>4494.2939999999999</v>
      </c>
      <c r="BO107" s="28">
        <f>Passivo!AV31/1000</f>
        <v>4703.0709999999999</v>
      </c>
      <c r="BP107" s="28">
        <f>Passivo!AW31/1000</f>
        <v>4699.9139999999998</v>
      </c>
      <c r="BQ107" s="28">
        <f>Passivo!AY31/1000</f>
        <v>4780.6139999999996</v>
      </c>
      <c r="BR107" s="28">
        <f>Passivo!AZ31/1000</f>
        <v>5006.6930000000002</v>
      </c>
    </row>
    <row r="108" spans="1:71" x14ac:dyDescent="0.25">
      <c r="A108" s="62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R108" s="28"/>
      <c r="S108" s="28"/>
      <c r="T108" s="28"/>
      <c r="U108" s="28"/>
      <c r="V108" s="28"/>
      <c r="W108" s="28"/>
      <c r="X108" s="28"/>
      <c r="Y108" s="28"/>
      <c r="AB108" s="28"/>
      <c r="AC108" s="28"/>
      <c r="AD108" s="28"/>
      <c r="AE108" s="28"/>
      <c r="AF108" s="28"/>
      <c r="AG108" s="28"/>
      <c r="AH108" s="28"/>
      <c r="AI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</row>
    <row r="109" spans="1:71" x14ac:dyDescent="0.25">
      <c r="A109" s="66" t="s">
        <v>207</v>
      </c>
      <c r="B109" s="92"/>
      <c r="C109" s="92">
        <f t="shared" ref="C109:H109" si="392">C110/AVERAGE(B111:C111)</f>
        <v>0.19922211964828912</v>
      </c>
      <c r="D109" s="92">
        <f t="shared" si="392"/>
        <v>0.15175463946022691</v>
      </c>
      <c r="E109" s="92">
        <f t="shared" si="392"/>
        <v>0.29227679343000007</v>
      </c>
      <c r="F109" s="92">
        <f t="shared" si="392"/>
        <v>0.16762379901591262</v>
      </c>
      <c r="G109" s="92">
        <f t="shared" si="392"/>
        <v>0.27487785779669799</v>
      </c>
      <c r="H109" s="92">
        <f t="shared" si="392"/>
        <v>0.3216411127402522</v>
      </c>
      <c r="I109" s="92">
        <f>AN109</f>
        <v>0.58986782783728553</v>
      </c>
      <c r="J109" s="92">
        <f>AR109</f>
        <v>0.41694307254319196</v>
      </c>
      <c r="K109" s="92">
        <f>AV109</f>
        <v>0.52476979013020064</v>
      </c>
      <c r="L109" s="92">
        <f>AZ109</f>
        <v>0.46535175717044558</v>
      </c>
      <c r="M109" s="92">
        <f>BD109</f>
        <v>0.40128914053000325</v>
      </c>
      <c r="N109" s="92">
        <f>BH109</f>
        <v>0.22681108748711779</v>
      </c>
      <c r="O109" s="92">
        <f>BL109</f>
        <v>0.20153446661304777</v>
      </c>
      <c r="P109" s="92">
        <f>BP109</f>
        <v>0.17911663958429472</v>
      </c>
      <c r="R109" s="92">
        <f t="shared" ref="R109:S111" si="393">AP109</f>
        <v>0.44548581180506575</v>
      </c>
      <c r="S109" s="92">
        <f t="shared" si="393"/>
        <v>0.44908349976930201</v>
      </c>
      <c r="T109" s="92">
        <f>AU109</f>
        <v>0.49343986120429456</v>
      </c>
      <c r="U109" s="92">
        <f>AY109</f>
        <v>0.47306089891592545</v>
      </c>
      <c r="V109" s="92">
        <f>BC109</f>
        <v>0.40170549878623363</v>
      </c>
      <c r="W109" s="92">
        <f>BG109</f>
        <v>0.29379774514002488</v>
      </c>
      <c r="X109" s="92">
        <f>BK109</f>
        <v>0.22240245783453969</v>
      </c>
      <c r="Y109" s="92">
        <f>BL109</f>
        <v>0.20153446661304777</v>
      </c>
      <c r="AB109" s="92">
        <f>AP109</f>
        <v>0.44548581180506575</v>
      </c>
      <c r="AC109" s="92">
        <f>AT109</f>
        <v>0.35864877110191873</v>
      </c>
      <c r="AD109" s="92">
        <f>AX109</f>
        <v>0.56757899638594855</v>
      </c>
      <c r="AE109" s="92">
        <f>BB109</f>
        <v>0.38519980889711192</v>
      </c>
      <c r="AF109" s="92">
        <f>BF109</f>
        <v>0.33854240660539753</v>
      </c>
      <c r="AG109" s="92">
        <f>BJ109</f>
        <v>0.20509726844013723</v>
      </c>
      <c r="AH109" s="92">
        <f>BN109</f>
        <v>0.23514622385219364</v>
      </c>
      <c r="AI109" s="92">
        <f>BR109</f>
        <v>0.1201640913019979</v>
      </c>
      <c r="AK109" s="92"/>
      <c r="AL109" s="92"/>
      <c r="AM109" s="92"/>
      <c r="AN109" s="92">
        <f t="shared" ref="AN109:BP109" si="394">AN110/AVERAGE(AK111:AN111)</f>
        <v>0.58986782783728553</v>
      </c>
      <c r="AO109" s="92">
        <f t="shared" si="394"/>
        <v>0.51981541954956523</v>
      </c>
      <c r="AP109" s="92">
        <f t="shared" si="394"/>
        <v>0.44548581180506575</v>
      </c>
      <c r="AQ109" s="92">
        <f t="shared" si="394"/>
        <v>0.44908349976930201</v>
      </c>
      <c r="AR109" s="92">
        <f t="shared" si="394"/>
        <v>0.41694307254319196</v>
      </c>
      <c r="AS109" s="92">
        <f t="shared" si="394"/>
        <v>0.35860642798509818</v>
      </c>
      <c r="AT109" s="92">
        <f t="shared" si="394"/>
        <v>0.35864877110191873</v>
      </c>
      <c r="AU109" s="92">
        <f t="shared" si="394"/>
        <v>0.49343986120429456</v>
      </c>
      <c r="AV109" s="92">
        <f t="shared" si="394"/>
        <v>0.52476979013020064</v>
      </c>
      <c r="AW109" s="92">
        <f t="shared" si="394"/>
        <v>0.52662171020790727</v>
      </c>
      <c r="AX109" s="92">
        <f t="shared" si="394"/>
        <v>0.56757899638594855</v>
      </c>
      <c r="AY109" s="92">
        <f t="shared" si="394"/>
        <v>0.47306089891592545</v>
      </c>
      <c r="AZ109" s="92">
        <f t="shared" si="394"/>
        <v>0.46535175717044558</v>
      </c>
      <c r="BA109" s="92">
        <f t="shared" si="394"/>
        <v>0.42096792917812365</v>
      </c>
      <c r="BB109" s="92">
        <f t="shared" si="394"/>
        <v>0.38519980889711192</v>
      </c>
      <c r="BC109" s="92">
        <f t="shared" si="394"/>
        <v>0.40170549878623363</v>
      </c>
      <c r="BD109" s="92">
        <f t="shared" si="394"/>
        <v>0.40128914053000325</v>
      </c>
      <c r="BE109" s="92">
        <f t="shared" si="394"/>
        <v>0.39514169027523754</v>
      </c>
      <c r="BF109" s="92">
        <f t="shared" si="394"/>
        <v>0.33854240660539753</v>
      </c>
      <c r="BG109" s="92">
        <f t="shared" si="394"/>
        <v>0.29379774514002488</v>
      </c>
      <c r="BH109" s="92">
        <f t="shared" si="394"/>
        <v>0.22681108748711779</v>
      </c>
      <c r="BI109" s="92">
        <f t="shared" si="394"/>
        <v>0.2124709096456269</v>
      </c>
      <c r="BJ109" s="92">
        <f t="shared" si="394"/>
        <v>0.20509726844013723</v>
      </c>
      <c r="BK109" s="92">
        <f t="shared" si="394"/>
        <v>0.22240245783453969</v>
      </c>
      <c r="BL109" s="92">
        <f t="shared" si="394"/>
        <v>0.20153446661304777</v>
      </c>
      <c r="BM109" s="92">
        <f t="shared" si="394"/>
        <v>0.2014249165671845</v>
      </c>
      <c r="BN109" s="92">
        <f t="shared" si="394"/>
        <v>0.23514622385219364</v>
      </c>
      <c r="BO109" s="92">
        <f t="shared" si="394"/>
        <v>0.19814815091440524</v>
      </c>
      <c r="BP109" s="92">
        <f t="shared" si="394"/>
        <v>0.17911663958429472</v>
      </c>
      <c r="BQ109" s="92">
        <f>BQ110/AVERAGE(BN111:BQ111)</f>
        <v>0.15022144093019488</v>
      </c>
      <c r="BR109" s="92">
        <f>BR110/AVERAGE(BO111:BR111)</f>
        <v>0.1201640913019979</v>
      </c>
    </row>
    <row r="110" spans="1:71" x14ac:dyDescent="0.25">
      <c r="A110" s="62" t="s">
        <v>277</v>
      </c>
      <c r="B110" s="28">
        <f>B106</f>
        <v>11.135</v>
      </c>
      <c r="C110" s="28">
        <f t="shared" ref="C110:L111" si="395">C106</f>
        <v>13.164</v>
      </c>
      <c r="D110" s="28">
        <f t="shared" si="395"/>
        <v>12.077999999999999</v>
      </c>
      <c r="E110" s="28">
        <f t="shared" si="395"/>
        <v>24.521000000000001</v>
      </c>
      <c r="F110" s="28">
        <f t="shared" si="395"/>
        <v>12.23</v>
      </c>
      <c r="G110" s="28">
        <f t="shared" si="395"/>
        <v>24.923999999999999</v>
      </c>
      <c r="H110" s="28">
        <f t="shared" si="395"/>
        <v>48.48</v>
      </c>
      <c r="I110" s="28">
        <f t="shared" si="395"/>
        <v>143.59299999999999</v>
      </c>
      <c r="J110" s="28">
        <f t="shared" si="395"/>
        <v>141.51100000000002</v>
      </c>
      <c r="K110" s="28">
        <f t="shared" si="395"/>
        <v>293.24700000000001</v>
      </c>
      <c r="L110" s="28">
        <f t="shared" si="395"/>
        <v>430.30600000000004</v>
      </c>
      <c r="M110" s="28">
        <f>M106</f>
        <v>571.17399999999998</v>
      </c>
      <c r="N110" s="19">
        <f>N106</f>
        <v>573.80200000000002</v>
      </c>
      <c r="O110" s="19">
        <f>O106</f>
        <v>756.36500000000001</v>
      </c>
      <c r="P110" s="19">
        <f>P106</f>
        <v>808.69899999999996</v>
      </c>
      <c r="R110" s="18">
        <f t="shared" si="393"/>
        <v>127.90899999999999</v>
      </c>
      <c r="S110" s="18">
        <f t="shared" si="393"/>
        <v>139.184</v>
      </c>
      <c r="T110" s="18">
        <f>AU110</f>
        <v>242.88800000000001</v>
      </c>
      <c r="U110" s="18">
        <f>AY110</f>
        <v>388.012</v>
      </c>
      <c r="V110" s="18">
        <f>BC110</f>
        <v>514.22</v>
      </c>
      <c r="W110" s="18">
        <f>BG110</f>
        <v>622.16300000000001</v>
      </c>
      <c r="X110" s="18">
        <f>BK110</f>
        <v>796.10599999999999</v>
      </c>
      <c r="Y110" s="18">
        <f>BO110</f>
        <v>862.21799999999996</v>
      </c>
      <c r="AB110" s="18">
        <f>AP110</f>
        <v>127.90899999999999</v>
      </c>
      <c r="AC110" s="18">
        <f>AT110</f>
        <v>152.38</v>
      </c>
      <c r="AD110" s="18">
        <f>AX110</f>
        <v>414.41</v>
      </c>
      <c r="AE110" s="18">
        <f>BB110</f>
        <v>442.99499999999995</v>
      </c>
      <c r="AF110" s="18">
        <f>BF110</f>
        <v>573.45799999999997</v>
      </c>
      <c r="AG110" s="18">
        <f>BJ110</f>
        <v>695.596</v>
      </c>
      <c r="AH110" s="18">
        <f>BN110</f>
        <v>977.54899999999998</v>
      </c>
      <c r="AI110" s="18">
        <f>BR110</f>
        <v>576.49599999999998</v>
      </c>
      <c r="AK110" s="18"/>
      <c r="AL110" s="18"/>
      <c r="AM110" s="18"/>
      <c r="AN110" s="18">
        <f>SUM(AK92:AN92)</f>
        <v>143.59299999999999</v>
      </c>
      <c r="AO110" s="18">
        <f t="shared" ref="AO110:BJ110" si="396">SUM(AL92:AO92)</f>
        <v>138.726</v>
      </c>
      <c r="AP110" s="18">
        <f t="shared" si="396"/>
        <v>127.90899999999999</v>
      </c>
      <c r="AQ110" s="18">
        <f t="shared" si="396"/>
        <v>139.184</v>
      </c>
      <c r="AR110" s="18">
        <f t="shared" si="396"/>
        <v>141.51100000000002</v>
      </c>
      <c r="AS110" s="18">
        <f t="shared" si="396"/>
        <v>136.30199999999999</v>
      </c>
      <c r="AT110" s="18">
        <f t="shared" si="396"/>
        <v>152.38</v>
      </c>
      <c r="AU110" s="18">
        <f t="shared" si="396"/>
        <v>242.88800000000001</v>
      </c>
      <c r="AV110" s="18">
        <f t="shared" si="396"/>
        <v>293.24700000000001</v>
      </c>
      <c r="AW110" s="18">
        <f t="shared" si="396"/>
        <v>334.59199999999998</v>
      </c>
      <c r="AX110" s="18">
        <f t="shared" si="396"/>
        <v>414.41</v>
      </c>
      <c r="AY110" s="18">
        <f t="shared" si="396"/>
        <v>388.012</v>
      </c>
      <c r="AZ110" s="18">
        <f t="shared" si="396"/>
        <v>430.30600000000004</v>
      </c>
      <c r="BA110" s="18">
        <f t="shared" si="396"/>
        <v>436.04900000000004</v>
      </c>
      <c r="BB110" s="18">
        <f t="shared" si="396"/>
        <v>442.99499999999995</v>
      </c>
      <c r="BC110" s="18">
        <f t="shared" si="396"/>
        <v>514.22</v>
      </c>
      <c r="BD110" s="18">
        <f t="shared" si="396"/>
        <v>571.17399999999998</v>
      </c>
      <c r="BE110" s="18">
        <f t="shared" si="396"/>
        <v>617.73119490839963</v>
      </c>
      <c r="BF110" s="18">
        <f>SUM(BC92:BF92)</f>
        <v>573.45799999999997</v>
      </c>
      <c r="BG110" s="18">
        <f t="shared" si="396"/>
        <v>622.16300000000001</v>
      </c>
      <c r="BH110" s="18">
        <f t="shared" si="396"/>
        <v>573.80200000000002</v>
      </c>
      <c r="BI110" s="18">
        <f t="shared" si="396"/>
        <v>626.90080509160043</v>
      </c>
      <c r="BJ110" s="18">
        <f t="shared" si="396"/>
        <v>695.596</v>
      </c>
      <c r="BK110" s="18">
        <f t="shared" ref="BK110:BP110" si="397">SUM(BH92:BK92)</f>
        <v>796.10599999999999</v>
      </c>
      <c r="BL110" s="18">
        <f t="shared" si="397"/>
        <v>756.36500000000001</v>
      </c>
      <c r="BM110" s="18">
        <f t="shared" si="397"/>
        <v>792.346</v>
      </c>
      <c r="BN110" s="18">
        <f t="shared" si="397"/>
        <v>977.54899999999998</v>
      </c>
      <c r="BO110" s="18">
        <f t="shared" si="397"/>
        <v>862.21799999999996</v>
      </c>
      <c r="BP110" s="18">
        <f t="shared" si="397"/>
        <v>808.69899999999996</v>
      </c>
      <c r="BQ110" s="18">
        <f>SUM(BN92:BQ92)</f>
        <v>701.45499999999993</v>
      </c>
      <c r="BR110" s="18">
        <f>SUM(BO92:BR92)</f>
        <v>576.49599999999998</v>
      </c>
      <c r="BS110" s="18"/>
    </row>
    <row r="111" spans="1:71" x14ac:dyDescent="0.25">
      <c r="A111" s="62" t="s">
        <v>206</v>
      </c>
      <c r="B111" s="18">
        <f>B107</f>
        <v>58.603999999999999</v>
      </c>
      <c r="C111" s="18">
        <f t="shared" si="395"/>
        <v>73.55</v>
      </c>
      <c r="D111" s="18">
        <f t="shared" si="395"/>
        <v>85.628</v>
      </c>
      <c r="E111" s="18">
        <f t="shared" si="395"/>
        <v>82.165000000000006</v>
      </c>
      <c r="F111" s="18">
        <f>F107</f>
        <v>63.756999999999998</v>
      </c>
      <c r="G111" s="18">
        <f t="shared" si="395"/>
        <v>117.589</v>
      </c>
      <c r="H111" s="18">
        <f t="shared" si="395"/>
        <v>183.86500000000001</v>
      </c>
      <c r="I111" s="18">
        <f>AN111</f>
        <v>327.93700000000001</v>
      </c>
      <c r="J111" s="18">
        <f>AR111</f>
        <v>445.82600000000002</v>
      </c>
      <c r="K111" s="18">
        <f>AV111</f>
        <v>712.13199999999995</v>
      </c>
      <c r="L111" s="18">
        <f>AZ111</f>
        <v>1130.028</v>
      </c>
      <c r="M111" s="18">
        <f>BD111</f>
        <v>1703.0510008400001</v>
      </c>
      <c r="N111" s="126">
        <f>BH111</f>
        <v>3351.8910000000001</v>
      </c>
      <c r="O111" s="126">
        <f>BL111</f>
        <v>4045.7179999999998</v>
      </c>
      <c r="P111" s="126">
        <f>BP111</f>
        <v>4699.9139999999998</v>
      </c>
      <c r="R111" s="28">
        <f t="shared" si="393"/>
        <v>298.78899999999999</v>
      </c>
      <c r="S111" s="28">
        <f t="shared" si="393"/>
        <v>329.214</v>
      </c>
      <c r="T111" s="28">
        <f>AU111</f>
        <v>598.66099999999994</v>
      </c>
      <c r="U111" s="28">
        <f>AY111</f>
        <v>958.97900000000004</v>
      </c>
      <c r="V111" s="28">
        <f>BC111</f>
        <v>1479.1890008400001</v>
      </c>
      <c r="W111" s="28">
        <f>BG111</f>
        <v>3174.2069999999999</v>
      </c>
      <c r="X111" s="28">
        <f>BK111</f>
        <v>3926.3339999999998</v>
      </c>
      <c r="Y111" s="18">
        <f>BO111</f>
        <v>4703.0709999999999</v>
      </c>
      <c r="AB111" s="28">
        <f>AP111</f>
        <v>298.78899999999999</v>
      </c>
      <c r="AC111" s="28">
        <f>AT111</f>
        <v>477.92700000000002</v>
      </c>
      <c r="AD111" s="28">
        <f>AX111</f>
        <v>857.05</v>
      </c>
      <c r="AE111" s="28">
        <f>BB111</f>
        <v>1313.9090454299999</v>
      </c>
      <c r="AF111" s="28">
        <f>BF111</f>
        <v>1836.2584008399999</v>
      </c>
      <c r="AG111" s="28">
        <f>BJ111</f>
        <v>3600.3249999999998</v>
      </c>
      <c r="AH111" s="28">
        <f>BN111</f>
        <v>4494.2939999999999</v>
      </c>
      <c r="AI111" s="28">
        <f>BR111</f>
        <v>5006.6930000000002</v>
      </c>
      <c r="AK111" s="28">
        <f>AK107</f>
        <v>190.00399999999999</v>
      </c>
      <c r="AL111" s="28">
        <f t="shared" ref="AL111:AX111" si="398">AL107</f>
        <v>217.80099999999999</v>
      </c>
      <c r="AM111" s="28">
        <f t="shared" si="398"/>
        <v>237.988</v>
      </c>
      <c r="AN111" s="28">
        <f t="shared" si="398"/>
        <v>327.93700000000001</v>
      </c>
      <c r="AO111" s="28">
        <f t="shared" si="398"/>
        <v>283.77600000000001</v>
      </c>
      <c r="AP111" s="28">
        <f t="shared" si="398"/>
        <v>298.78899999999999</v>
      </c>
      <c r="AQ111" s="28">
        <f t="shared" si="398"/>
        <v>329.214</v>
      </c>
      <c r="AR111" s="28">
        <f t="shared" si="398"/>
        <v>445.82600000000002</v>
      </c>
      <c r="AS111" s="28">
        <f t="shared" si="398"/>
        <v>446.52300000000002</v>
      </c>
      <c r="AT111" s="28">
        <f t="shared" si="398"/>
        <v>477.92700000000002</v>
      </c>
      <c r="AU111" s="28">
        <f t="shared" si="398"/>
        <v>598.66099999999994</v>
      </c>
      <c r="AV111" s="28">
        <f t="shared" si="398"/>
        <v>712.13199999999995</v>
      </c>
      <c r="AW111" s="28">
        <f t="shared" si="398"/>
        <v>752.702</v>
      </c>
      <c r="AX111" s="28">
        <f t="shared" si="398"/>
        <v>857.05</v>
      </c>
      <c r="AY111" s="28">
        <f>(Passivo!AB31-(1106212))/1000</f>
        <v>958.97900000000004</v>
      </c>
      <c r="AZ111" s="28">
        <f>(Passivo!AC31-(1106212))/1000</f>
        <v>1130.028</v>
      </c>
      <c r="BA111" s="28">
        <f>(Passivo!AE31-(1106212))/1000</f>
        <v>1197.2420000100001</v>
      </c>
      <c r="BB111" s="28">
        <f>(Passivo!AF31-(1106212))/1000</f>
        <v>1313.9090454299999</v>
      </c>
      <c r="BC111" s="28">
        <f>(Passivo!AG31-(1113903.99916))/1000</f>
        <v>1479.1890008400001</v>
      </c>
      <c r="BD111" s="28">
        <f>(Passivo!AH31-(1115503.99916))/1000</f>
        <v>1703.0510008400001</v>
      </c>
      <c r="BE111" s="28">
        <f>(Passivo!AJ31-(1118661.59916))/1000</f>
        <v>1757.1136190299999</v>
      </c>
      <c r="BF111" s="28">
        <f>(Passivo!AK31-(1118661.59916))/1000</f>
        <v>1836.2584008399999</v>
      </c>
      <c r="BG111" s="28">
        <f>(Passivo!AL31)/1000</f>
        <v>3174.2069999999999</v>
      </c>
      <c r="BH111" s="28">
        <f>(Passivo!AM31)/1000</f>
        <v>3351.8910000000001</v>
      </c>
      <c r="BI111" s="28">
        <f>(Passivo!AO31)/1000</f>
        <v>3439.7449999999999</v>
      </c>
      <c r="BJ111" s="28">
        <f>(Passivo!AP31)/1000</f>
        <v>3600.3249999999998</v>
      </c>
      <c r="BK111" s="28">
        <f>(Passivo!AQ31)/1000</f>
        <v>3926.3339999999998</v>
      </c>
      <c r="BL111" s="28">
        <f>(Passivo!AR31)/1000</f>
        <v>4045.7179999999998</v>
      </c>
      <c r="BM111" s="28">
        <f>(Passivo!AT31)/1000</f>
        <v>4162.4390000000003</v>
      </c>
      <c r="BN111" s="28">
        <f>(Passivo!AU31)/1000</f>
        <v>4494.2939999999999</v>
      </c>
      <c r="BO111" s="28">
        <f>(Passivo!AV31)/1000</f>
        <v>4703.0709999999999</v>
      </c>
      <c r="BP111" s="28">
        <f>(Passivo!AW31)/1000</f>
        <v>4699.9139999999998</v>
      </c>
      <c r="BQ111" s="28">
        <f>(Passivo!AY31)/1000</f>
        <v>4780.6139999999996</v>
      </c>
      <c r="BR111" s="28">
        <f>(Passivo!AZ31)/1000</f>
        <v>5006.6930000000002</v>
      </c>
    </row>
    <row r="113" spans="1:70" x14ac:dyDescent="0.25">
      <c r="A113" s="66" t="s">
        <v>208</v>
      </c>
      <c r="B113" s="92"/>
      <c r="C113" s="92">
        <v>0.12742039510795614</v>
      </c>
      <c r="D113" s="92">
        <v>0.15062541752090483</v>
      </c>
      <c r="E113" s="92">
        <v>0.16657619368056617</v>
      </c>
      <c r="F113" s="92">
        <v>0.19724679521135716</v>
      </c>
      <c r="G113" s="92">
        <v>0.12481872558876539</v>
      </c>
      <c r="H113" s="92">
        <v>0.23434446552767882</v>
      </c>
      <c r="I113" s="92">
        <f>AN113</f>
        <v>0.27981294346856883</v>
      </c>
      <c r="J113" s="92">
        <f>AR113</f>
        <v>0.19079287423526803</v>
      </c>
      <c r="K113" s="92">
        <f>AV113</f>
        <v>0.34988345216291461</v>
      </c>
      <c r="L113" s="92">
        <f>AZ113</f>
        <v>0.2459906802940896</v>
      </c>
      <c r="M113" s="92">
        <f>BD113</f>
        <v>0.21394883838811335</v>
      </c>
      <c r="N113" s="92">
        <f>BH113</f>
        <v>0.17891317134271334</v>
      </c>
      <c r="O113" s="92">
        <f>BL113</f>
        <v>0.24675053022215424</v>
      </c>
      <c r="P113" s="92">
        <f>BP113</f>
        <v>5.3236795382795285E-2</v>
      </c>
      <c r="S113" s="92">
        <f>AQ113</f>
        <v>0.15816286562323972</v>
      </c>
      <c r="T113" s="92">
        <f>AU113</f>
        <v>0.32401960385388101</v>
      </c>
      <c r="U113" s="92">
        <f>AY113</f>
        <v>0.28670577594653668</v>
      </c>
      <c r="V113" s="92">
        <f>BC113</f>
        <v>0.19892700957979875</v>
      </c>
      <c r="W113" s="92">
        <f>BG113</f>
        <v>0.21248404083045991</v>
      </c>
      <c r="X113" s="92">
        <f>BK113</f>
        <v>0.21525014318798716</v>
      </c>
      <c r="Y113" s="92">
        <f>BO113</f>
        <v>0.10055393134528</v>
      </c>
      <c r="AB113" s="92">
        <f>AP113</f>
        <v>0.16391412765043467</v>
      </c>
      <c r="AC113" s="92">
        <f>AT113</f>
        <v>0.27566731485133161</v>
      </c>
      <c r="AD113" s="92">
        <f>AX113</f>
        <v>0.31281802901238842</v>
      </c>
      <c r="AE113" s="92">
        <f>BB113</f>
        <v>0.19403839344167506</v>
      </c>
      <c r="AF113" s="92">
        <f>BF113</f>
        <v>0.19306449950765001</v>
      </c>
      <c r="AG113" s="92">
        <f>BJ113</f>
        <v>0.24436630214756241</v>
      </c>
      <c r="AH113" s="92">
        <f>BN113</f>
        <v>0.16451147114311537</v>
      </c>
      <c r="AI113" s="92">
        <f>BR113</f>
        <v>4.033521842723483E-2</v>
      </c>
      <c r="AK113" s="92"/>
      <c r="AL113" s="92"/>
      <c r="AM113" s="92"/>
      <c r="AN113" s="92">
        <f>SUM(AK114:AN114)/AVERAGE(AK115:AN115)</f>
        <v>0.27981294346856883</v>
      </c>
      <c r="AO113" s="92">
        <f t="shared" ref="AO113:BJ113" si="399">SUM(AL114:AO114)/AVERAGE(AL115:AO115)</f>
        <v>0.23711414367591629</v>
      </c>
      <c r="AP113" s="92">
        <f t="shared" si="399"/>
        <v>0.16391412765043467</v>
      </c>
      <c r="AQ113" s="92">
        <f t="shared" si="399"/>
        <v>0.15816286562323972</v>
      </c>
      <c r="AR113" s="92">
        <f t="shared" si="399"/>
        <v>0.19079287423526803</v>
      </c>
      <c r="AS113" s="92">
        <f t="shared" si="399"/>
        <v>0.20838261631878932</v>
      </c>
      <c r="AT113" s="92">
        <f t="shared" si="399"/>
        <v>0.27566731485133161</v>
      </c>
      <c r="AU113" s="92">
        <f t="shared" si="399"/>
        <v>0.32401960385388101</v>
      </c>
      <c r="AV113" s="92">
        <f>SUM(AS114:AV114)/AVERAGE(AS115:AV115)</f>
        <v>0.34988345216291461</v>
      </c>
      <c r="AW113" s="92">
        <f t="shared" si="399"/>
        <v>0.3446210884977689</v>
      </c>
      <c r="AX113" s="92">
        <f t="shared" si="399"/>
        <v>0.31281802901238842</v>
      </c>
      <c r="AY113" s="92">
        <f t="shared" si="399"/>
        <v>0.28670577594653668</v>
      </c>
      <c r="AZ113" s="92">
        <f t="shared" si="399"/>
        <v>0.2459906802940896</v>
      </c>
      <c r="BA113" s="92">
        <f t="shared" si="399"/>
        <v>0.21174075096695183</v>
      </c>
      <c r="BB113" s="92">
        <f t="shared" si="399"/>
        <v>0.19403839344167506</v>
      </c>
      <c r="BC113" s="92">
        <f t="shared" si="399"/>
        <v>0.19892700957979875</v>
      </c>
      <c r="BD113" s="92">
        <f t="shared" si="399"/>
        <v>0.21394883838811335</v>
      </c>
      <c r="BE113" s="92">
        <f t="shared" si="399"/>
        <v>0.2221779697274669</v>
      </c>
      <c r="BF113" s="92">
        <f t="shared" si="399"/>
        <v>0.19306449950765001</v>
      </c>
      <c r="BG113" s="92">
        <f t="shared" si="399"/>
        <v>0.21248404083045991</v>
      </c>
      <c r="BH113" s="92">
        <f t="shared" si="399"/>
        <v>0.17891317134271334</v>
      </c>
      <c r="BI113" s="92">
        <f t="shared" si="399"/>
        <v>0.18306975886895496</v>
      </c>
      <c r="BJ113" s="92">
        <f t="shared" si="399"/>
        <v>0.24436630214756241</v>
      </c>
      <c r="BK113" s="92">
        <f t="shared" ref="BK113:BP113" si="400">SUM(BH114:BK114)/AVERAGE(BH115:BK115)</f>
        <v>0.21525014318798716</v>
      </c>
      <c r="BL113" s="92">
        <f t="shared" si="400"/>
        <v>0.24675053022215424</v>
      </c>
      <c r="BM113" s="92">
        <f t="shared" si="400"/>
        <v>0.21563489469698535</v>
      </c>
      <c r="BN113" s="92">
        <f t="shared" si="400"/>
        <v>0.16451147114311537</v>
      </c>
      <c r="BO113" s="92">
        <f t="shared" si="400"/>
        <v>0.10055393134528</v>
      </c>
      <c r="BP113" s="92">
        <f t="shared" si="400"/>
        <v>5.3236795382795285E-2</v>
      </c>
      <c r="BQ113" s="92">
        <f>SUM(BN114:BQ114)/AVERAGE(BN115:BQ115)</f>
        <v>5.0727576187118699E-2</v>
      </c>
      <c r="BR113" s="92">
        <f>SUM(BO114:BR114)/AVERAGE(BO115:BR115)</f>
        <v>4.033521842723483E-2</v>
      </c>
    </row>
    <row r="114" spans="1:70" x14ac:dyDescent="0.25">
      <c r="A114" s="62" t="s">
        <v>209</v>
      </c>
      <c r="B114" s="18">
        <f>(DRE_ACM!C15+DRE_ACM!C20)/1000</f>
        <v>33.25</v>
      </c>
      <c r="C114" s="18">
        <f>(DRE_ACM!D15+DRE_ACM!D20)/1000</f>
        <v>31.510999999999999</v>
      </c>
      <c r="D114" s="18">
        <f>(DRE_ACM!E15+DRE_ACM!E20)/1000</f>
        <v>49.040999999999997</v>
      </c>
      <c r="E114" s="18">
        <f>(DRE_ACM!F15+DRE_ACM!F20)/1000</f>
        <v>66.588999999999999</v>
      </c>
      <c r="F114" s="18">
        <f>(DRE_ACM!G15+DRE_ACM!G20)/1000</f>
        <v>89.367000000000004</v>
      </c>
      <c r="G114" s="18">
        <f>(DRE_ACM!H15+DRE_ACM!H20)/1000</f>
        <v>53.88</v>
      </c>
      <c r="H114" s="18">
        <f>(DRE_ACM!I15+DRE_ACM!I20)/1000</f>
        <v>95.034999999999997</v>
      </c>
      <c r="I114" s="18">
        <f>SUM(AK114:AN114)</f>
        <v>183.798</v>
      </c>
      <c r="J114" s="18">
        <f>SUM(AO114:AR114)</f>
        <v>164.905</v>
      </c>
      <c r="K114" s="18">
        <f>SUM(AS114:AV114)</f>
        <v>366.73899999999998</v>
      </c>
      <c r="L114" s="18">
        <f>SUM(AW114:AZ114)</f>
        <v>404.06299999999999</v>
      </c>
      <c r="M114" s="18">
        <f>SUM(BA114:BD114)</f>
        <v>568.50400000000002</v>
      </c>
      <c r="N114" s="18">
        <f>SUM(BE114:BH114)</f>
        <v>586.77200000000005</v>
      </c>
      <c r="O114" s="18">
        <f>SUM(BI114:BL114)</f>
        <v>1000.6370000000002</v>
      </c>
      <c r="P114" s="18">
        <f>SUM(BM114:BP114)</f>
        <v>311.66300000000001</v>
      </c>
      <c r="S114" s="18">
        <f>SUM(AN114:AQ114)</f>
        <v>127.19600000000001</v>
      </c>
      <c r="T114" s="18">
        <f>SUM(AR114:AU114)</f>
        <v>308.56799999999998</v>
      </c>
      <c r="U114" s="18">
        <f>SUM(AV114:AY114)</f>
        <v>410.82299999999998</v>
      </c>
      <c r="V114" s="18">
        <f>SUM(AZ114:BC114)</f>
        <v>477.30899999999997</v>
      </c>
      <c r="W114" s="18">
        <f>SUM(BD114:BG114)</f>
        <v>679.96800000000007</v>
      </c>
      <c r="X114" s="18">
        <f>SUM(BH114:BK114)</f>
        <v>821.16100000000006</v>
      </c>
      <c r="Y114" s="18">
        <f>SUM(BL114:BO114)</f>
        <v>537.649</v>
      </c>
      <c r="AB114" s="18">
        <f>SUM(AM114:AP114)</f>
        <v>121.723</v>
      </c>
      <c r="AC114" s="18">
        <f>SUM(AQ114:AT114)</f>
        <v>241.84899999999999</v>
      </c>
      <c r="AD114" s="18">
        <f>SUM(AU114:AX114)</f>
        <v>409.15300000000002</v>
      </c>
      <c r="AE114" s="18">
        <f>SUM(AY114:BB114)</f>
        <v>423.97200000000004</v>
      </c>
      <c r="AF114" s="18">
        <f>SUM(BC114:BF114)</f>
        <v>582.27500000000009</v>
      </c>
      <c r="AG114" s="18">
        <f>SUM(BG114:BJ114)</f>
        <v>880.41000000000008</v>
      </c>
      <c r="AH114" s="18">
        <f>SUM(BK114:BN114)</f>
        <v>788.83600000000001</v>
      </c>
      <c r="AI114" s="18">
        <f>SUM(BO114:BR114)</f>
        <v>282.55</v>
      </c>
      <c r="AK114" s="18">
        <f>(DRE_TRI!C14+DRE_TRI!C19)/1000</f>
        <v>32.426000000000002</v>
      </c>
      <c r="AL114" s="18">
        <f>(DRE_TRI!D14+DRE_TRI!D19)/1000</f>
        <v>56.223999999999997</v>
      </c>
      <c r="AM114" s="18">
        <f>(DRE_TRI!E14+DRE_TRI!E19)/1000</f>
        <v>39.381</v>
      </c>
      <c r="AN114" s="18">
        <f>(DRE_TRI!F14+DRE_TRI!F19)/1000</f>
        <v>55.767000000000003</v>
      </c>
      <c r="AO114" s="18">
        <f>(DRE_TRI!H14+DRE_TRI!H19)/1000</f>
        <v>17.556000000000001</v>
      </c>
      <c r="AP114" s="18">
        <f>(DRE_TRI!I14+DRE_TRI!I19)/1000</f>
        <v>9.0190000000000001</v>
      </c>
      <c r="AQ114" s="18">
        <f>(DRE_TRI!J14+DRE_TRI!J19)/1000</f>
        <v>44.853999999999999</v>
      </c>
      <c r="AR114" s="18">
        <f>(DRE_TRI!K14+DRE_TRI!K19)/1000</f>
        <v>93.475999999999999</v>
      </c>
      <c r="AS114" s="18">
        <f>(DRE_TRI!M14+DRE_TRI!M19)/1000</f>
        <v>31.164000000000001</v>
      </c>
      <c r="AT114" s="18">
        <f>(DRE_TRI!N14+DRE_TRI!N19)/1000</f>
        <v>72.355000000000004</v>
      </c>
      <c r="AU114" s="18">
        <f>(DRE_TRI!O14+DRE_TRI!O19)/1000</f>
        <v>111.57299999999999</v>
      </c>
      <c r="AV114" s="18">
        <f>(DRE_TRI!P14+DRE_TRI!P19)/1000</f>
        <v>151.64699999999999</v>
      </c>
      <c r="AW114" s="18">
        <f>(DRE_TRI!R14+DRE_TRI!R19)/1000</f>
        <v>56.124000000000002</v>
      </c>
      <c r="AX114" s="18">
        <f>(DRE_TRI!S14+DRE_TRI!S19)/1000</f>
        <v>89.808999999999997</v>
      </c>
      <c r="AY114" s="18">
        <f>(DRE_TRI!T14+DRE_TRI!T19)/1000</f>
        <v>113.24299999999999</v>
      </c>
      <c r="AZ114" s="18">
        <f>(DRE_TRI!U14+DRE_TRI!U19)/1000</f>
        <v>144.887</v>
      </c>
      <c r="BA114" s="18">
        <f>(DRE_TRI!W14+DRE_TRI!W19)/1000</f>
        <v>51.018000000000001</v>
      </c>
      <c r="BB114" s="18">
        <f>(DRE_TRI!X14+DRE_TRI!X19)/1000</f>
        <v>114.824</v>
      </c>
      <c r="BC114" s="18">
        <f>(DRE_TRI!Y14+DRE_TRI!Y19)/1000</f>
        <v>166.58</v>
      </c>
      <c r="BD114" s="18">
        <f>(DRE_TRI!Z14+DRE_TRI!Z19)/1000</f>
        <v>236.08199999999999</v>
      </c>
      <c r="BE114" s="18">
        <f>(DRE_TRI!AB14+DRE_TRI!AB19)/1000</f>
        <v>119.79407054839953</v>
      </c>
      <c r="BF114" s="18">
        <f>(DRE_TRI!AC14+DRE_TRI!AC19)/1000</f>
        <v>59.818929451600475</v>
      </c>
      <c r="BG114" s="18">
        <f>(DRE_TRI!AD14+DRE_TRI!AD19)/1000</f>
        <v>264.27300000000002</v>
      </c>
      <c r="BH114" s="18">
        <f>(DRE_TRI!AE14+DRE_TRI!AE19)/1000</f>
        <v>142.886</v>
      </c>
      <c r="BI114" s="18">
        <f>(DRE_TRI!AG14+DRE_TRI!AG19)/1000</f>
        <v>165.50200000000001</v>
      </c>
      <c r="BJ114" s="18">
        <f>(DRE_TRI!AH14+DRE_TRI!AH19)/1000</f>
        <v>307.74900000000002</v>
      </c>
      <c r="BK114" s="18">
        <f>(DRE_TRI!AI14+DRE_TRI!AI19)/1000</f>
        <v>205.024</v>
      </c>
      <c r="BL114" s="18">
        <f>(DRE_TRI!AJ14+DRE_TRI!AJ19)/1000</f>
        <v>322.36200000000002</v>
      </c>
      <c r="BM114" s="18">
        <f>(DRE_TRI!AL14+DRE_TRI!AL19)/1000</f>
        <v>80.834000000000003</v>
      </c>
      <c r="BN114" s="18">
        <f>(DRE_TRI!AM14+DRE_TRI!AM19)/1000</f>
        <v>180.61600000000001</v>
      </c>
      <c r="BO114" s="115">
        <f>(DRE_TRI!AN14+DRE_TRI!AN19)/1000</f>
        <v>-46.162999999999997</v>
      </c>
      <c r="BP114" s="18">
        <f>(DRE_TRI!AO14+DRE_TRI!AO19)/1000</f>
        <v>96.376000000000005</v>
      </c>
      <c r="BQ114" s="18">
        <f>(DRE_TRI!AQ14+DRE_TRI!AQ19)/1000</f>
        <v>95.573999999999998</v>
      </c>
      <c r="BR114" s="18">
        <f>(DRE_TRI!AR14+DRE_TRI!AR19)/1000</f>
        <v>136.76300000000001</v>
      </c>
    </row>
    <row r="115" spans="1:70" x14ac:dyDescent="0.25">
      <c r="A115" s="62" t="s">
        <v>210</v>
      </c>
      <c r="B115" s="28">
        <f>B95+B107</f>
        <v>210.05399999999997</v>
      </c>
      <c r="C115" s="28">
        <f t="shared" ref="C115:H115" si="401">C95+C107</f>
        <v>250.21400000000006</v>
      </c>
      <c r="D115" s="28">
        <f t="shared" si="401"/>
        <v>379.85399999999998</v>
      </c>
      <c r="E115" s="28">
        <f t="shared" si="401"/>
        <v>472.79500000000002</v>
      </c>
      <c r="F115" s="28">
        <f t="shared" si="401"/>
        <v>450.875</v>
      </c>
      <c r="G115" s="28">
        <f t="shared" si="401"/>
        <v>394.89600000000002</v>
      </c>
      <c r="H115" s="28">
        <f t="shared" si="401"/>
        <v>417.26700000000005</v>
      </c>
      <c r="I115" s="28">
        <f>AN115</f>
        <v>497.04499999999996</v>
      </c>
      <c r="J115" s="28">
        <f>AR115</f>
        <v>737.46600000000001</v>
      </c>
      <c r="K115" s="28">
        <f>AV115</f>
        <v>1120.9139999999998</v>
      </c>
      <c r="L115" s="28">
        <f>AZ115</f>
        <v>1959.6609999999996</v>
      </c>
      <c r="M115" s="28">
        <f>BD115</f>
        <v>2990.7739999999999</v>
      </c>
      <c r="N115" s="28">
        <f>BH115</f>
        <v>3309.002</v>
      </c>
      <c r="O115" s="28">
        <f>BL115</f>
        <v>4270.3729999999996</v>
      </c>
      <c r="P115" s="28">
        <f>BP115</f>
        <v>6299.9969999999994</v>
      </c>
      <c r="S115" s="28">
        <f t="shared" ref="S115" si="402">AQ115</f>
        <v>832.95900000000006</v>
      </c>
      <c r="T115" s="28">
        <f>AU115</f>
        <v>1132.922</v>
      </c>
      <c r="U115" s="28">
        <f>AY115</f>
        <v>1632.7199999999998</v>
      </c>
      <c r="V115" s="28">
        <f>BC115</f>
        <v>2490.4299999999998</v>
      </c>
      <c r="W115" s="28">
        <f>BG115</f>
        <v>3226.9450000000002</v>
      </c>
      <c r="X115" s="28">
        <f>BK115</f>
        <v>4075.2889999999998</v>
      </c>
      <c r="Y115" s="18">
        <f>SUM(BO115)</f>
        <v>6282.692</v>
      </c>
      <c r="AB115" s="28">
        <f>AP115</f>
        <v>957.80499999999995</v>
      </c>
      <c r="AC115" s="28">
        <f>AT115</f>
        <v>1040.454</v>
      </c>
      <c r="AD115" s="28">
        <f>AX115</f>
        <v>1725.857</v>
      </c>
      <c r="AE115" s="28">
        <f>BB115</f>
        <v>2929.1110454299996</v>
      </c>
      <c r="AF115" s="28">
        <f>BF115</f>
        <v>3519.6289999999999</v>
      </c>
      <c r="AG115" s="18">
        <f>BJ115</f>
        <v>4111.5149999999994</v>
      </c>
      <c r="AH115" s="18">
        <f>BN115</f>
        <v>6300.491</v>
      </c>
      <c r="AI115" s="18">
        <f>BR115</f>
        <v>8582.9519999999993</v>
      </c>
      <c r="AK115" s="28">
        <f>AK107+AK95</f>
        <v>706.73500000000001</v>
      </c>
      <c r="AL115" s="28">
        <f t="shared" ref="AL115:AY115" si="403">AL107+AL95</f>
        <v>837.12899999999991</v>
      </c>
      <c r="AM115" s="28">
        <f t="shared" si="403"/>
        <v>586.53200000000004</v>
      </c>
      <c r="AN115" s="28">
        <f t="shared" si="403"/>
        <v>497.04499999999996</v>
      </c>
      <c r="AO115" s="28">
        <f t="shared" si="403"/>
        <v>929.02700000000004</v>
      </c>
      <c r="AP115" s="28">
        <f t="shared" si="403"/>
        <v>957.80499999999995</v>
      </c>
      <c r="AQ115" s="28">
        <f t="shared" si="403"/>
        <v>832.95900000000006</v>
      </c>
      <c r="AR115" s="28">
        <f t="shared" si="403"/>
        <v>737.46600000000001</v>
      </c>
      <c r="AS115" s="28">
        <f t="shared" si="403"/>
        <v>898.40900000000011</v>
      </c>
      <c r="AT115" s="28">
        <f t="shared" si="403"/>
        <v>1040.454</v>
      </c>
      <c r="AU115" s="28">
        <f t="shared" si="403"/>
        <v>1132.922</v>
      </c>
      <c r="AV115" s="28">
        <f>AV107+AV95</f>
        <v>1120.9139999999998</v>
      </c>
      <c r="AW115" s="28">
        <f t="shared" si="403"/>
        <v>1252.1410000000001</v>
      </c>
      <c r="AX115" s="28">
        <f t="shared" si="403"/>
        <v>1725.857</v>
      </c>
      <c r="AY115" s="28">
        <f t="shared" si="403"/>
        <v>1632.7199999999998</v>
      </c>
      <c r="AZ115" s="28">
        <f t="shared" ref="AZ115:BE115" si="404">AZ107+AZ95</f>
        <v>1959.6609999999996</v>
      </c>
      <c r="BA115" s="28">
        <f t="shared" si="404"/>
        <v>2218.4690000099999</v>
      </c>
      <c r="BB115" s="28">
        <f t="shared" si="404"/>
        <v>2929.1110454299996</v>
      </c>
      <c r="BC115" s="28">
        <f t="shared" si="404"/>
        <v>2490.4299999999998</v>
      </c>
      <c r="BD115" s="28">
        <f t="shared" si="404"/>
        <v>2990.7739999999999</v>
      </c>
      <c r="BE115" s="28">
        <f t="shared" si="404"/>
        <v>3063.0109792900003</v>
      </c>
      <c r="BF115" s="28">
        <f t="shared" ref="BF115:BG115" si="405">BF107+BF95</f>
        <v>3519.6289999999999</v>
      </c>
      <c r="BG115" s="28">
        <f t="shared" si="405"/>
        <v>3226.9450000000002</v>
      </c>
      <c r="BH115" s="28">
        <f t="shared" ref="BH115:BI115" si="406">BH107+BH95</f>
        <v>3309.002</v>
      </c>
      <c r="BI115" s="28">
        <f t="shared" si="406"/>
        <v>3763.8539999999998</v>
      </c>
      <c r="BJ115" s="28">
        <f t="shared" ref="BJ115:BN115" si="407">BJ107+BJ95</f>
        <v>4111.5149999999994</v>
      </c>
      <c r="BK115" s="28">
        <f t="shared" si="407"/>
        <v>4075.2889999999998</v>
      </c>
      <c r="BL115" s="28">
        <f t="shared" si="407"/>
        <v>4270.3729999999996</v>
      </c>
      <c r="BM115" s="28">
        <f t="shared" si="407"/>
        <v>4533.9320000000007</v>
      </c>
      <c r="BN115" s="28">
        <f t="shared" si="407"/>
        <v>6300.491</v>
      </c>
      <c r="BO115" s="28">
        <f>BO107+BO95</f>
        <v>6282.692</v>
      </c>
      <c r="BP115" s="28">
        <f>BP107+BP95</f>
        <v>6299.9969999999994</v>
      </c>
      <c r="BQ115" s="28">
        <f>BQ107+BQ95</f>
        <v>6854.5370000000003</v>
      </c>
      <c r="BR115" s="28">
        <f>BR107+BR95</f>
        <v>8582.9519999999993</v>
      </c>
    </row>
    <row r="116" spans="1:70" x14ac:dyDescent="0.25">
      <c r="A116" s="62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T116" s="84"/>
      <c r="U116" s="84"/>
      <c r="V116" s="84"/>
      <c r="W116" s="84"/>
      <c r="X116" s="84"/>
      <c r="Y116" s="84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94"/>
      <c r="AV116" s="94"/>
      <c r="AW116" s="94"/>
      <c r="AX116" s="94"/>
      <c r="AY116" s="94"/>
      <c r="AZ116" s="94"/>
      <c r="BA116" s="94"/>
      <c r="BB116" s="94"/>
      <c r="BC116" s="94"/>
      <c r="BD116" s="94"/>
      <c r="BE116" s="94"/>
      <c r="BF116" s="94"/>
      <c r="BG116" s="94"/>
      <c r="BH116" s="94"/>
      <c r="BI116" s="94"/>
      <c r="BJ116" s="94"/>
      <c r="BK116" s="94"/>
      <c r="BL116" s="94"/>
      <c r="BM116" s="94"/>
      <c r="BN116" s="94"/>
    </row>
    <row r="117" spans="1:70" x14ac:dyDescent="0.25">
      <c r="A117" s="62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95"/>
      <c r="AV117" s="95"/>
      <c r="AW117" s="95"/>
      <c r="AX117" s="95"/>
      <c r="AY117" s="95"/>
      <c r="AZ117" s="95"/>
      <c r="BA117" s="95"/>
      <c r="BB117" s="95"/>
      <c r="BC117" s="95"/>
      <c r="BD117" s="95"/>
      <c r="BE117" s="95"/>
      <c r="BF117" s="95"/>
      <c r="BG117" s="42"/>
      <c r="BH117" s="42"/>
      <c r="BI117" s="42"/>
      <c r="BJ117" s="42"/>
      <c r="BK117" s="42"/>
      <c r="BL117" s="42"/>
      <c r="BM117" s="42"/>
      <c r="BN117" s="42"/>
    </row>
    <row r="118" spans="1:70" s="1" customFormat="1" x14ac:dyDescent="0.25">
      <c r="A118" s="96" t="s">
        <v>211</v>
      </c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8"/>
      <c r="BH118" s="28"/>
      <c r="BI118" s="28"/>
      <c r="BJ118" s="28"/>
      <c r="BK118" s="28"/>
      <c r="BL118" s="28"/>
      <c r="BM118" s="28"/>
      <c r="BN118" s="28"/>
    </row>
    <row r="119" spans="1:70" s="1" customFormat="1" x14ac:dyDescent="0.25">
      <c r="A119" s="96" t="s">
        <v>212</v>
      </c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8"/>
      <c r="BH119" s="28"/>
      <c r="BI119" s="28"/>
      <c r="BJ119" s="28"/>
      <c r="BK119" s="28"/>
      <c r="BL119" s="28"/>
      <c r="BM119" s="28"/>
      <c r="BN119" s="28"/>
    </row>
    <row r="120" spans="1:70" x14ac:dyDescent="0.25">
      <c r="BG120" s="28"/>
      <c r="BH120" s="28"/>
      <c r="BI120" s="28"/>
      <c r="BJ120" s="28"/>
      <c r="BK120" s="28"/>
      <c r="BL120" s="28"/>
      <c r="BM120" s="28"/>
      <c r="BN120" s="28"/>
    </row>
    <row r="121" spans="1:70" s="1" customFormat="1" x14ac:dyDescent="0.25">
      <c r="A121" s="22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93"/>
      <c r="BH121" s="93"/>
      <c r="BI121" s="93"/>
      <c r="BJ121" s="93"/>
      <c r="BK121" s="93"/>
      <c r="BL121" s="93"/>
      <c r="BM121" s="93"/>
      <c r="BN121" s="93"/>
    </row>
    <row r="122" spans="1:70" s="1" customFormat="1" x14ac:dyDescent="0.25">
      <c r="A122" s="22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</row>
    <row r="123" spans="1:70" s="1" customFormat="1" x14ac:dyDescent="0.25">
      <c r="A123" s="22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</row>
    <row r="124" spans="1:70" s="1" customFormat="1" x14ac:dyDescent="0.25">
      <c r="A124" s="22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</row>
    <row r="125" spans="1:70" s="1" customFormat="1" x14ac:dyDescent="0.25">
      <c r="A125" s="22"/>
      <c r="B125" s="28"/>
      <c r="C125" s="97"/>
      <c r="D125" s="22"/>
      <c r="E125" s="22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93"/>
      <c r="BH125" s="93"/>
      <c r="BI125" s="93"/>
      <c r="BJ125" s="93"/>
      <c r="BK125" s="93"/>
      <c r="BL125" s="93"/>
      <c r="BM125" s="93"/>
      <c r="BN125" s="93"/>
    </row>
    <row r="126" spans="1:70" s="1" customFormat="1" x14ac:dyDescent="0.25">
      <c r="A126" s="98"/>
      <c r="B126" s="99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8"/>
      <c r="BH126" s="28"/>
      <c r="BI126" s="28"/>
      <c r="BJ126" s="28"/>
      <c r="BK126" s="28"/>
      <c r="BL126" s="28"/>
      <c r="BM126" s="28"/>
      <c r="BN126" s="28"/>
    </row>
    <row r="127" spans="1:70" s="1" customFormat="1" x14ac:dyDescent="0.2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98"/>
      <c r="R127" s="98"/>
      <c r="S127" s="98"/>
      <c r="T127" s="98"/>
      <c r="U127" s="98"/>
      <c r="V127" s="98"/>
      <c r="W127" s="98"/>
      <c r="X127" s="98"/>
      <c r="Y127" s="98"/>
      <c r="Z127" s="98"/>
      <c r="AA127" s="98"/>
      <c r="AB127" s="98"/>
      <c r="AC127" s="98"/>
      <c r="AD127" s="98"/>
      <c r="AE127" s="98"/>
      <c r="AF127" s="98"/>
      <c r="AG127" s="98"/>
      <c r="AH127" s="98"/>
      <c r="AI127" s="98"/>
      <c r="AJ127" s="22"/>
      <c r="AK127" s="22"/>
      <c r="AL127" s="22"/>
      <c r="AM127" s="22"/>
      <c r="AN127" s="98"/>
      <c r="AO127" s="98"/>
      <c r="AP127" s="98"/>
      <c r="AQ127" s="98"/>
      <c r="AR127" s="98"/>
      <c r="AS127" s="98"/>
      <c r="AT127" s="98"/>
      <c r="AU127" s="98"/>
      <c r="AV127" s="98"/>
      <c r="AW127" s="98"/>
      <c r="AX127" s="98"/>
      <c r="AY127" s="98"/>
      <c r="AZ127" s="98"/>
      <c r="BA127" s="98"/>
      <c r="BB127" s="98"/>
      <c r="BC127" s="98"/>
      <c r="BD127" s="98"/>
      <c r="BE127" s="98"/>
      <c r="BF127" s="98"/>
      <c r="BG127" s="28"/>
      <c r="BH127" s="28"/>
      <c r="BI127" s="28"/>
      <c r="BJ127" s="28"/>
      <c r="BK127" s="28"/>
      <c r="BL127" s="28"/>
      <c r="BM127" s="28"/>
      <c r="BN127" s="28"/>
    </row>
    <row r="128" spans="1:70" s="1" customFormat="1" x14ac:dyDescent="0.2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100"/>
      <c r="AI128" s="100"/>
      <c r="AJ128" s="22"/>
      <c r="AK128" s="22"/>
      <c r="AL128" s="22"/>
      <c r="AM128" s="22"/>
      <c r="AN128" s="100"/>
      <c r="AO128" s="100"/>
      <c r="AP128" s="100"/>
      <c r="AQ128" s="100"/>
      <c r="AR128" s="100"/>
      <c r="AS128" s="100"/>
      <c r="AT128" s="100"/>
      <c r="AU128" s="100"/>
      <c r="AV128" s="100"/>
      <c r="AW128" s="100"/>
      <c r="AX128" s="100"/>
      <c r="AY128" s="100"/>
      <c r="AZ128" s="100"/>
      <c r="BA128" s="100"/>
      <c r="BB128" s="100"/>
      <c r="BC128" s="100"/>
      <c r="BD128" s="100"/>
      <c r="BE128" s="100"/>
      <c r="BF128" s="100"/>
      <c r="BG128" s="28"/>
      <c r="BH128" s="28"/>
      <c r="BI128" s="28"/>
      <c r="BJ128" s="28"/>
      <c r="BK128" s="28"/>
      <c r="BL128" s="28"/>
      <c r="BM128" s="28"/>
      <c r="BN128" s="28"/>
    </row>
    <row r="129" spans="1:66" x14ac:dyDescent="0.25">
      <c r="BG129" s="28"/>
      <c r="BH129" s="28"/>
      <c r="BI129" s="28"/>
      <c r="BJ129" s="28"/>
      <c r="BK129" s="28"/>
      <c r="BL129" s="28"/>
      <c r="BM129" s="28"/>
      <c r="BN129" s="28"/>
    </row>
    <row r="130" spans="1:66" s="1" customFormat="1" x14ac:dyDescent="0.2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101"/>
      <c r="R130" s="101"/>
      <c r="S130" s="101"/>
      <c r="T130" s="101"/>
      <c r="U130" s="101"/>
      <c r="V130" s="101"/>
      <c r="W130" s="101"/>
      <c r="X130" s="101"/>
      <c r="Y130" s="101"/>
      <c r="Z130" s="101"/>
      <c r="AA130" s="101"/>
      <c r="AB130" s="101"/>
      <c r="AC130" s="101"/>
      <c r="AD130" s="101"/>
      <c r="AE130" s="101"/>
      <c r="AF130" s="101"/>
      <c r="AG130" s="101"/>
      <c r="AH130" s="101"/>
      <c r="AI130" s="101"/>
      <c r="AJ130" s="22"/>
      <c r="AK130" s="22"/>
      <c r="AL130" s="22"/>
      <c r="AM130" s="22"/>
      <c r="AN130" s="101"/>
      <c r="AO130" s="101"/>
      <c r="AP130" s="101"/>
      <c r="AQ130" s="101"/>
      <c r="AR130" s="101"/>
      <c r="AS130" s="101"/>
      <c r="AT130" s="101"/>
      <c r="AU130" s="101"/>
      <c r="AV130" s="101"/>
      <c r="AW130" s="101"/>
      <c r="AX130" s="101"/>
      <c r="AY130" s="101"/>
      <c r="AZ130" s="101"/>
      <c r="BA130" s="101"/>
      <c r="BB130" s="101"/>
      <c r="BC130" s="101"/>
      <c r="BD130" s="101"/>
      <c r="BE130" s="101"/>
      <c r="BF130" s="101"/>
      <c r="BG130" s="28"/>
      <c r="BH130" s="28"/>
      <c r="BI130" s="28"/>
      <c r="BJ130" s="28"/>
      <c r="BK130" s="28"/>
      <c r="BL130" s="28"/>
      <c r="BM130" s="28"/>
      <c r="BN130" s="28"/>
    </row>
    <row r="131" spans="1:66" x14ac:dyDescent="0.25">
      <c r="BG131" s="64"/>
      <c r="BH131" s="64"/>
      <c r="BI131" s="64"/>
      <c r="BJ131" s="64"/>
      <c r="BK131" s="64"/>
      <c r="BL131" s="64"/>
      <c r="BM131" s="64"/>
      <c r="BN131" s="64"/>
    </row>
    <row r="132" spans="1:66" s="1" customFormat="1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  <c r="AA132" s="102"/>
      <c r="AB132" s="102"/>
      <c r="AC132" s="102"/>
      <c r="AD132" s="102"/>
      <c r="AE132" s="102"/>
      <c r="AF132" s="102"/>
      <c r="AG132" s="102"/>
      <c r="AH132" s="102"/>
      <c r="AI132" s="102"/>
      <c r="AJ132" s="22"/>
      <c r="AK132" s="22"/>
      <c r="AL132" s="22"/>
      <c r="AM132" s="22"/>
      <c r="AN132" s="102"/>
      <c r="AO132" s="102"/>
      <c r="AP132" s="102"/>
      <c r="AQ132" s="102"/>
      <c r="AR132" s="102"/>
      <c r="AS132" s="102"/>
      <c r="AT132" s="102"/>
      <c r="AU132" s="102"/>
      <c r="AV132" s="102"/>
      <c r="AW132" s="102"/>
      <c r="AX132" s="102"/>
      <c r="AY132" s="102"/>
      <c r="AZ132" s="102"/>
      <c r="BA132" s="102"/>
      <c r="BB132" s="102"/>
      <c r="BC132" s="102"/>
      <c r="BD132" s="102"/>
      <c r="BE132" s="102"/>
      <c r="BF132" s="102"/>
      <c r="BG132" s="28"/>
      <c r="BH132" s="28"/>
      <c r="BI132" s="28"/>
      <c r="BJ132" s="28"/>
      <c r="BK132" s="28"/>
      <c r="BL132" s="28"/>
      <c r="BM132" s="28"/>
      <c r="BN132" s="28"/>
    </row>
    <row r="133" spans="1:66" x14ac:dyDescent="0.25">
      <c r="BG133" s="28"/>
      <c r="BH133" s="28"/>
      <c r="BI133" s="28"/>
      <c r="BJ133" s="28"/>
      <c r="BK133" s="28"/>
      <c r="BL133" s="28"/>
      <c r="BM133" s="28"/>
      <c r="BN133" s="28"/>
    </row>
    <row r="134" spans="1:66" x14ac:dyDescent="0.25">
      <c r="BG134" s="28"/>
      <c r="BH134" s="28"/>
      <c r="BI134" s="28"/>
      <c r="BJ134" s="28"/>
      <c r="BK134" s="28"/>
      <c r="BL134" s="28"/>
      <c r="BM134" s="28"/>
      <c r="BN134" s="28"/>
    </row>
    <row r="135" spans="1:66" x14ac:dyDescent="0.25">
      <c r="BG135" s="28"/>
      <c r="BH135" s="28"/>
      <c r="BI135" s="28"/>
      <c r="BJ135" s="28"/>
      <c r="BK135" s="28"/>
      <c r="BL135" s="28"/>
      <c r="BM135" s="28"/>
      <c r="BN135" s="28"/>
    </row>
    <row r="136" spans="1:66" x14ac:dyDescent="0.25">
      <c r="BG136" s="28"/>
      <c r="BH136" s="28"/>
      <c r="BI136" s="28"/>
      <c r="BJ136" s="28"/>
      <c r="BK136" s="28"/>
      <c r="BL136" s="28"/>
      <c r="BM136" s="28"/>
      <c r="BN136" s="28"/>
    </row>
    <row r="137" spans="1:66" x14ac:dyDescent="0.25">
      <c r="BG137" s="28"/>
      <c r="BH137" s="28"/>
      <c r="BI137" s="28"/>
      <c r="BJ137" s="28"/>
      <c r="BK137" s="28"/>
      <c r="BL137" s="28"/>
      <c r="BM137" s="28"/>
      <c r="BN137" s="28"/>
    </row>
    <row r="138" spans="1:66" x14ac:dyDescent="0.25">
      <c r="BG138" s="28"/>
      <c r="BH138" s="28"/>
      <c r="BI138" s="28"/>
      <c r="BJ138" s="28"/>
      <c r="BK138" s="28"/>
      <c r="BL138" s="28"/>
      <c r="BM138" s="28"/>
      <c r="BN138" s="28"/>
    </row>
    <row r="139" spans="1:66" x14ac:dyDescent="0.25">
      <c r="BG139" s="28"/>
      <c r="BH139" s="28"/>
      <c r="BI139" s="28"/>
      <c r="BJ139" s="28"/>
      <c r="BK139" s="28"/>
      <c r="BL139" s="28"/>
      <c r="BM139" s="28"/>
      <c r="BN139" s="28"/>
    </row>
    <row r="140" spans="1:66" x14ac:dyDescent="0.25">
      <c r="BG140" s="28"/>
      <c r="BH140" s="28"/>
      <c r="BI140" s="28"/>
      <c r="BJ140" s="28"/>
      <c r="BK140" s="28"/>
      <c r="BL140" s="28"/>
      <c r="BM140" s="28"/>
      <c r="BN140" s="28"/>
    </row>
    <row r="141" spans="1:66" x14ac:dyDescent="0.25">
      <c r="BG141" s="28"/>
      <c r="BH141" s="28"/>
      <c r="BI141" s="28"/>
      <c r="BJ141" s="28"/>
      <c r="BK141" s="28"/>
      <c r="BL141" s="28"/>
      <c r="BM141" s="28"/>
      <c r="BN141" s="28"/>
    </row>
    <row r="142" spans="1:66" x14ac:dyDescent="0.25">
      <c r="BG142" s="28"/>
      <c r="BH142" s="28"/>
      <c r="BI142" s="28"/>
      <c r="BJ142" s="28"/>
      <c r="BK142" s="28"/>
      <c r="BL142" s="28"/>
      <c r="BM142" s="28"/>
      <c r="BN142" s="28"/>
    </row>
    <row r="143" spans="1:66" x14ac:dyDescent="0.25">
      <c r="BG143" s="95"/>
      <c r="BH143" s="95"/>
      <c r="BI143" s="95"/>
      <c r="BJ143" s="95"/>
      <c r="BK143" s="95"/>
      <c r="BL143" s="95"/>
      <c r="BM143" s="95"/>
      <c r="BN143" s="95"/>
    </row>
    <row r="144" spans="1:66" x14ac:dyDescent="0.25">
      <c r="BG144" s="28"/>
      <c r="BH144" s="28"/>
      <c r="BI144" s="28"/>
      <c r="BJ144" s="28"/>
      <c r="BK144" s="28"/>
      <c r="BL144" s="28"/>
      <c r="BM144" s="28"/>
      <c r="BN144" s="28"/>
    </row>
    <row r="145" spans="59:66" x14ac:dyDescent="0.25">
      <c r="BG145" s="28"/>
      <c r="BH145" s="28"/>
      <c r="BI145" s="28"/>
      <c r="BJ145" s="28"/>
      <c r="BK145" s="28"/>
      <c r="BL145" s="28"/>
      <c r="BM145" s="28"/>
      <c r="BN145" s="28"/>
    </row>
    <row r="146" spans="59:66" x14ac:dyDescent="0.25">
      <c r="BG146" s="28"/>
      <c r="BH146" s="28"/>
      <c r="BI146" s="28"/>
      <c r="BJ146" s="28"/>
      <c r="BK146" s="28"/>
      <c r="BL146" s="28"/>
      <c r="BM146" s="28"/>
      <c r="BN146" s="28"/>
    </row>
    <row r="147" spans="59:66" x14ac:dyDescent="0.25">
      <c r="BG147" s="28"/>
      <c r="BH147" s="28"/>
      <c r="BI147" s="28"/>
      <c r="BJ147" s="28"/>
      <c r="BK147" s="28"/>
      <c r="BL147" s="28"/>
      <c r="BM147" s="28"/>
      <c r="BN147" s="28"/>
    </row>
    <row r="148" spans="59:66" x14ac:dyDescent="0.25">
      <c r="BG148" s="28"/>
      <c r="BH148" s="28"/>
      <c r="BI148" s="28"/>
      <c r="BJ148" s="28"/>
      <c r="BK148" s="28"/>
      <c r="BL148" s="28"/>
      <c r="BM148" s="28"/>
      <c r="BN148" s="28"/>
    </row>
    <row r="149" spans="59:66" x14ac:dyDescent="0.25">
      <c r="BG149" s="28"/>
      <c r="BH149" s="28"/>
      <c r="BI149" s="28"/>
      <c r="BJ149" s="28"/>
      <c r="BK149" s="28"/>
      <c r="BL149" s="28"/>
      <c r="BM149" s="28"/>
      <c r="BN149" s="28"/>
    </row>
    <row r="150" spans="59:66" x14ac:dyDescent="0.25">
      <c r="BG150" s="28"/>
      <c r="BH150" s="28"/>
      <c r="BI150" s="28"/>
      <c r="BJ150" s="28"/>
      <c r="BK150" s="28"/>
      <c r="BL150" s="28"/>
      <c r="BM150" s="28"/>
      <c r="BN150" s="28"/>
    </row>
    <row r="151" spans="59:66" x14ac:dyDescent="0.25">
      <c r="BG151" s="28"/>
      <c r="BH151" s="28"/>
      <c r="BI151" s="28"/>
      <c r="BJ151" s="28"/>
      <c r="BK151" s="28"/>
      <c r="BL151" s="28"/>
      <c r="BM151" s="28"/>
      <c r="BN151" s="28"/>
    </row>
    <row r="152" spans="59:66" x14ac:dyDescent="0.25">
      <c r="BG152" s="28"/>
      <c r="BH152" s="28"/>
      <c r="BI152" s="28"/>
      <c r="BJ152" s="28"/>
      <c r="BK152" s="28"/>
      <c r="BL152" s="28"/>
      <c r="BM152" s="28"/>
      <c r="BN152" s="28"/>
    </row>
    <row r="153" spans="59:66" x14ac:dyDescent="0.25">
      <c r="BG153" s="28"/>
      <c r="BH153" s="28"/>
      <c r="BI153" s="28"/>
      <c r="BJ153" s="28"/>
      <c r="BK153" s="28"/>
      <c r="BL153" s="28"/>
      <c r="BM153" s="28"/>
      <c r="BN153" s="28"/>
    </row>
    <row r="154" spans="59:66" x14ac:dyDescent="0.25">
      <c r="BG154" s="28"/>
      <c r="BH154" s="28"/>
      <c r="BI154" s="28"/>
      <c r="BJ154" s="28"/>
      <c r="BK154" s="28"/>
      <c r="BL154" s="28"/>
      <c r="BM154" s="28"/>
      <c r="BN154" s="28"/>
    </row>
    <row r="155" spans="59:66" x14ac:dyDescent="0.25">
      <c r="BG155" s="28"/>
      <c r="BH155" s="28"/>
      <c r="BI155" s="28"/>
      <c r="BJ155" s="28"/>
      <c r="BK155" s="28"/>
      <c r="BL155" s="28"/>
      <c r="BM155" s="28"/>
      <c r="BN155" s="28"/>
    </row>
    <row r="156" spans="59:66" x14ac:dyDescent="0.25">
      <c r="BG156" s="28"/>
      <c r="BH156" s="28"/>
      <c r="BI156" s="28"/>
      <c r="BJ156" s="28"/>
      <c r="BK156" s="28"/>
      <c r="BL156" s="28"/>
      <c r="BM156" s="28"/>
      <c r="BN156" s="28"/>
    </row>
    <row r="157" spans="59:66" x14ac:dyDescent="0.25">
      <c r="BG157" s="28"/>
      <c r="BH157" s="28"/>
      <c r="BI157" s="28"/>
      <c r="BJ157" s="28"/>
      <c r="BK157" s="28"/>
      <c r="BL157" s="28"/>
      <c r="BM157" s="28"/>
      <c r="BN157" s="28"/>
    </row>
    <row r="158" spans="59:66" x14ac:dyDescent="0.25">
      <c r="BG158" s="28"/>
      <c r="BH158" s="28"/>
      <c r="BI158" s="28"/>
      <c r="BJ158" s="28"/>
      <c r="BK158" s="28"/>
      <c r="BL158" s="28"/>
      <c r="BM158" s="28"/>
      <c r="BN158" s="28"/>
    </row>
    <row r="159" spans="59:66" x14ac:dyDescent="0.25">
      <c r="BG159" s="28"/>
      <c r="BH159" s="28"/>
      <c r="BI159" s="28"/>
      <c r="BJ159" s="28"/>
      <c r="BK159" s="28"/>
      <c r="BL159" s="28"/>
      <c r="BM159" s="28"/>
      <c r="BN159" s="28"/>
    </row>
    <row r="160" spans="59:66" x14ac:dyDescent="0.25">
      <c r="BG160" s="28"/>
      <c r="BH160" s="28"/>
      <c r="BI160" s="28"/>
      <c r="BJ160" s="28"/>
      <c r="BK160" s="28"/>
      <c r="BL160" s="28"/>
      <c r="BM160" s="28"/>
      <c r="BN160" s="28"/>
    </row>
    <row r="161" spans="59:66" x14ac:dyDescent="0.25">
      <c r="BG161" s="28"/>
      <c r="BH161" s="28"/>
      <c r="BI161" s="28"/>
      <c r="BJ161" s="28"/>
      <c r="BK161" s="28"/>
      <c r="BL161" s="28"/>
      <c r="BM161" s="28"/>
      <c r="BN161" s="28"/>
    </row>
    <row r="162" spans="59:66" x14ac:dyDescent="0.25">
      <c r="BG162" s="28"/>
      <c r="BH162" s="28"/>
      <c r="BI162" s="28"/>
      <c r="BJ162" s="28"/>
      <c r="BK162" s="28"/>
      <c r="BL162" s="28"/>
      <c r="BM162" s="28"/>
      <c r="BN162" s="28"/>
    </row>
    <row r="163" spans="59:66" x14ac:dyDescent="0.25">
      <c r="BG163" s="28"/>
      <c r="BH163" s="28"/>
      <c r="BI163" s="28"/>
      <c r="BJ163" s="28"/>
      <c r="BK163" s="28"/>
      <c r="BL163" s="28"/>
      <c r="BM163" s="28"/>
      <c r="BN163" s="28"/>
    </row>
    <row r="164" spans="59:66" x14ac:dyDescent="0.25">
      <c r="BG164" s="28"/>
      <c r="BH164" s="28"/>
      <c r="BI164" s="28"/>
      <c r="BJ164" s="28"/>
      <c r="BK164" s="28"/>
      <c r="BL164" s="28"/>
      <c r="BM164" s="28"/>
      <c r="BN164" s="28"/>
    </row>
    <row r="165" spans="59:66" x14ac:dyDescent="0.25">
      <c r="BG165" s="28"/>
      <c r="BH165" s="28"/>
      <c r="BI165" s="28"/>
      <c r="BJ165" s="28"/>
      <c r="BK165" s="28"/>
      <c r="BL165" s="28"/>
      <c r="BM165" s="28"/>
      <c r="BN165" s="28"/>
    </row>
    <row r="166" spans="59:66" x14ac:dyDescent="0.25">
      <c r="BG166" s="28"/>
      <c r="BH166" s="28"/>
      <c r="BI166" s="28"/>
      <c r="BJ166" s="28"/>
      <c r="BK166" s="28"/>
      <c r="BL166" s="28"/>
      <c r="BM166" s="28"/>
      <c r="BN166" s="28"/>
    </row>
    <row r="167" spans="59:66" x14ac:dyDescent="0.25">
      <c r="BG167" s="28"/>
      <c r="BH167" s="28"/>
      <c r="BI167" s="28"/>
      <c r="BJ167" s="28"/>
      <c r="BK167" s="28"/>
      <c r="BL167" s="28"/>
      <c r="BM167" s="28"/>
      <c r="BN167" s="28"/>
    </row>
    <row r="168" spans="59:66" x14ac:dyDescent="0.25">
      <c r="BG168" s="28"/>
      <c r="BH168" s="28"/>
      <c r="BI168" s="28"/>
      <c r="BJ168" s="28"/>
      <c r="BK168" s="28"/>
      <c r="BL168" s="28"/>
      <c r="BM168" s="28"/>
      <c r="BN168" s="28"/>
    </row>
    <row r="169" spans="59:66" x14ac:dyDescent="0.25">
      <c r="BG169" s="28"/>
      <c r="BH169" s="28"/>
      <c r="BI169" s="28"/>
      <c r="BJ169" s="28"/>
      <c r="BK169" s="28"/>
      <c r="BL169" s="28"/>
      <c r="BM169" s="28"/>
      <c r="BN169" s="28"/>
    </row>
    <row r="170" spans="59:66" x14ac:dyDescent="0.25">
      <c r="BG170" s="28"/>
      <c r="BH170" s="28"/>
      <c r="BI170" s="28"/>
      <c r="BJ170" s="28"/>
      <c r="BK170" s="28"/>
      <c r="BL170" s="28"/>
      <c r="BM170" s="28"/>
      <c r="BN170" s="28"/>
    </row>
    <row r="171" spans="59:66" x14ac:dyDescent="0.25">
      <c r="BG171" s="28"/>
      <c r="BH171" s="28"/>
      <c r="BI171" s="28"/>
      <c r="BJ171" s="28"/>
      <c r="BK171" s="28"/>
      <c r="BL171" s="28"/>
      <c r="BM171" s="28"/>
      <c r="BN171" s="28"/>
    </row>
    <row r="172" spans="59:66" x14ac:dyDescent="0.25">
      <c r="BG172" s="28"/>
      <c r="BH172" s="28"/>
      <c r="BI172" s="28"/>
      <c r="BJ172" s="28"/>
      <c r="BK172" s="28"/>
      <c r="BL172" s="28"/>
      <c r="BM172" s="28"/>
      <c r="BN172" s="28"/>
    </row>
    <row r="173" spans="59:66" x14ac:dyDescent="0.25">
      <c r="BG173" s="28"/>
      <c r="BH173" s="28"/>
      <c r="BI173" s="28"/>
      <c r="BJ173" s="28"/>
      <c r="BK173" s="28"/>
      <c r="BL173" s="28"/>
      <c r="BM173" s="28"/>
      <c r="BN173" s="28"/>
    </row>
    <row r="174" spans="59:66" x14ac:dyDescent="0.25">
      <c r="BG174" s="28"/>
      <c r="BH174" s="28"/>
      <c r="BI174" s="28"/>
      <c r="BJ174" s="28"/>
      <c r="BK174" s="28"/>
      <c r="BL174" s="28"/>
      <c r="BM174" s="28"/>
      <c r="BN174" s="28"/>
    </row>
    <row r="175" spans="59:66" x14ac:dyDescent="0.25">
      <c r="BG175" s="28"/>
      <c r="BH175" s="28"/>
      <c r="BI175" s="28"/>
      <c r="BJ175" s="28"/>
      <c r="BK175" s="28"/>
      <c r="BL175" s="28"/>
      <c r="BM175" s="28"/>
      <c r="BN175" s="28"/>
    </row>
    <row r="176" spans="59:66" x14ac:dyDescent="0.25">
      <c r="BG176" s="84"/>
      <c r="BH176" s="84"/>
      <c r="BI176" s="84"/>
      <c r="BJ176" s="84"/>
      <c r="BK176" s="84"/>
      <c r="BL176" s="84"/>
      <c r="BM176" s="84"/>
      <c r="BN176" s="84"/>
    </row>
    <row r="177" spans="59:66" x14ac:dyDescent="0.25">
      <c r="BG177" s="84"/>
      <c r="BH177" s="84"/>
      <c r="BI177" s="84"/>
      <c r="BJ177" s="84"/>
      <c r="BK177" s="84"/>
      <c r="BL177" s="84"/>
      <c r="BM177" s="84"/>
      <c r="BN177" s="84"/>
    </row>
    <row r="178" spans="59:66" x14ac:dyDescent="0.25">
      <c r="BG178" s="84"/>
      <c r="BH178" s="84"/>
      <c r="BI178" s="84"/>
      <c r="BJ178" s="84"/>
      <c r="BK178" s="84"/>
      <c r="BL178" s="84"/>
      <c r="BM178" s="84"/>
      <c r="BN178" s="84"/>
    </row>
    <row r="179" spans="59:66" x14ac:dyDescent="0.25">
      <c r="BG179" s="84"/>
      <c r="BH179" s="84"/>
      <c r="BI179" s="84"/>
      <c r="BJ179" s="84"/>
      <c r="BK179" s="84"/>
      <c r="BL179" s="84"/>
      <c r="BM179" s="84"/>
      <c r="BN179" s="84"/>
    </row>
    <row r="180" spans="59:66" x14ac:dyDescent="0.25">
      <c r="BG180" s="84"/>
      <c r="BH180" s="84"/>
      <c r="BI180" s="84"/>
      <c r="BJ180" s="84"/>
      <c r="BK180" s="84"/>
      <c r="BL180" s="84"/>
      <c r="BM180" s="84"/>
      <c r="BN180" s="84"/>
    </row>
    <row r="181" spans="59:66" x14ac:dyDescent="0.25">
      <c r="BG181" s="84"/>
      <c r="BH181" s="84"/>
      <c r="BI181" s="84"/>
      <c r="BJ181" s="84"/>
      <c r="BK181" s="84"/>
      <c r="BL181" s="84"/>
      <c r="BM181" s="84"/>
      <c r="BN181" s="84"/>
    </row>
    <row r="182" spans="59:66" x14ac:dyDescent="0.25">
      <c r="BG182" s="84"/>
      <c r="BH182" s="84"/>
      <c r="BI182" s="84"/>
      <c r="BJ182" s="84"/>
      <c r="BK182" s="84"/>
      <c r="BL182" s="84"/>
      <c r="BM182" s="84"/>
      <c r="BN182" s="84"/>
    </row>
    <row r="183" spans="59:66" x14ac:dyDescent="0.25">
      <c r="BG183" s="84"/>
      <c r="BH183" s="84"/>
      <c r="BI183" s="84"/>
      <c r="BJ183" s="84"/>
      <c r="BK183" s="84"/>
      <c r="BL183" s="84"/>
      <c r="BM183" s="84"/>
      <c r="BN183" s="84"/>
    </row>
    <row r="184" spans="59:66" x14ac:dyDescent="0.25">
      <c r="BG184" s="84"/>
      <c r="BH184" s="84"/>
      <c r="BI184" s="84"/>
      <c r="BJ184" s="84"/>
      <c r="BK184" s="84"/>
      <c r="BL184" s="84"/>
      <c r="BM184" s="84"/>
      <c r="BN184" s="84"/>
    </row>
    <row r="185" spans="59:66" x14ac:dyDescent="0.25">
      <c r="BG185" s="84"/>
      <c r="BH185" s="84"/>
      <c r="BI185" s="84"/>
      <c r="BJ185" s="84"/>
      <c r="BK185" s="84"/>
      <c r="BL185" s="84"/>
      <c r="BM185" s="84"/>
      <c r="BN185" s="84"/>
    </row>
    <row r="186" spans="59:66" x14ac:dyDescent="0.25">
      <c r="BG186" s="84"/>
      <c r="BH186" s="84"/>
      <c r="BI186" s="84"/>
      <c r="BJ186" s="84"/>
      <c r="BK186" s="84"/>
      <c r="BL186" s="84"/>
      <c r="BM186" s="84"/>
      <c r="BN186" s="84"/>
    </row>
    <row r="187" spans="59:66" x14ac:dyDescent="0.25">
      <c r="BG187" s="84"/>
      <c r="BH187" s="84"/>
      <c r="BI187" s="84"/>
      <c r="BJ187" s="84"/>
      <c r="BK187" s="84"/>
      <c r="BL187" s="84"/>
      <c r="BM187" s="84"/>
      <c r="BN187" s="84"/>
    </row>
    <row r="188" spans="59:66" x14ac:dyDescent="0.25">
      <c r="BG188" s="84"/>
      <c r="BH188" s="84"/>
      <c r="BI188" s="84"/>
      <c r="BJ188" s="84"/>
      <c r="BK188" s="84"/>
      <c r="BL188" s="84"/>
      <c r="BM188" s="84"/>
      <c r="BN188" s="84"/>
    </row>
    <row r="189" spans="59:66" x14ac:dyDescent="0.25">
      <c r="BG189" s="84"/>
      <c r="BH189" s="84"/>
      <c r="BI189" s="84"/>
      <c r="BJ189" s="84"/>
      <c r="BK189" s="84"/>
      <c r="BL189" s="84"/>
      <c r="BM189" s="84"/>
      <c r="BN189" s="84"/>
    </row>
    <row r="190" spans="59:66" x14ac:dyDescent="0.25">
      <c r="BG190" s="28"/>
      <c r="BH190" s="28"/>
      <c r="BI190" s="28"/>
      <c r="BJ190" s="28"/>
      <c r="BK190" s="28"/>
      <c r="BL190" s="28"/>
      <c r="BM190" s="28"/>
      <c r="BN190" s="28"/>
    </row>
    <row r="191" spans="59:66" x14ac:dyDescent="0.25">
      <c r="BG191" s="28"/>
      <c r="BH191" s="28"/>
      <c r="BI191" s="28"/>
      <c r="BJ191" s="28"/>
      <c r="BK191" s="28"/>
      <c r="BL191" s="28"/>
      <c r="BM191" s="28"/>
      <c r="BN191" s="28"/>
    </row>
    <row r="195" spans="59:66" x14ac:dyDescent="0.25">
      <c r="BG195" s="28"/>
      <c r="BH195" s="28"/>
      <c r="BI195" s="28"/>
      <c r="BJ195" s="28"/>
      <c r="BK195" s="28"/>
      <c r="BL195" s="28"/>
      <c r="BM195" s="28"/>
      <c r="BN195" s="28"/>
    </row>
    <row r="196" spans="59:66" x14ac:dyDescent="0.25">
      <c r="BG196" s="28"/>
      <c r="BH196" s="28"/>
      <c r="BI196" s="28"/>
      <c r="BJ196" s="28"/>
      <c r="BK196" s="28"/>
      <c r="BL196" s="28"/>
      <c r="BM196" s="28"/>
      <c r="BN196" s="28"/>
    </row>
    <row r="197" spans="59:66" x14ac:dyDescent="0.25">
      <c r="BG197" s="28"/>
      <c r="BH197" s="28"/>
      <c r="BI197" s="28"/>
      <c r="BJ197" s="28"/>
      <c r="BK197" s="28"/>
      <c r="BL197" s="28"/>
      <c r="BM197" s="28"/>
      <c r="BN197" s="28"/>
    </row>
    <row r="198" spans="59:66" x14ac:dyDescent="0.25">
      <c r="BG198" s="28"/>
      <c r="BH198" s="28"/>
      <c r="BI198" s="28"/>
      <c r="BJ198" s="28"/>
      <c r="BK198" s="28"/>
      <c r="BL198" s="28"/>
      <c r="BM198" s="28"/>
      <c r="BN198" s="28"/>
    </row>
    <row r="199" spans="59:66" x14ac:dyDescent="0.25">
      <c r="BG199" s="28"/>
      <c r="BH199" s="28"/>
      <c r="BI199" s="28"/>
      <c r="BJ199" s="28"/>
      <c r="BK199" s="28"/>
      <c r="BL199" s="28"/>
      <c r="BM199" s="28"/>
      <c r="BN199" s="28"/>
    </row>
    <row r="201" spans="59:66" x14ac:dyDescent="0.25">
      <c r="BG201" s="98"/>
      <c r="BH201" s="98"/>
      <c r="BI201" s="98"/>
      <c r="BJ201" s="98"/>
      <c r="BK201" s="98"/>
      <c r="BL201" s="98"/>
      <c r="BM201" s="98"/>
      <c r="BN201" s="98"/>
    </row>
    <row r="202" spans="59:66" x14ac:dyDescent="0.25">
      <c r="BG202" s="100"/>
      <c r="BH202" s="100"/>
      <c r="BI202" s="100"/>
      <c r="BJ202" s="100"/>
      <c r="BK202" s="100"/>
      <c r="BL202" s="100"/>
      <c r="BM202" s="100"/>
      <c r="BN202" s="100"/>
    </row>
    <row r="204" spans="59:66" x14ac:dyDescent="0.25">
      <c r="BG204" s="101"/>
      <c r="BH204" s="101"/>
      <c r="BI204" s="101"/>
      <c r="BJ204" s="101"/>
      <c r="BK204" s="101"/>
      <c r="BL204" s="101"/>
      <c r="BM204" s="101"/>
      <c r="BN204" s="101"/>
    </row>
    <row r="206" spans="59:66" x14ac:dyDescent="0.25">
      <c r="BG206" s="102"/>
      <c r="BH206" s="102"/>
      <c r="BI206" s="102"/>
      <c r="BJ206" s="102"/>
      <c r="BK206" s="102"/>
      <c r="BL206" s="102"/>
      <c r="BM206" s="102"/>
      <c r="BN206" s="102"/>
    </row>
  </sheetData>
  <phoneticPr fontId="2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W65 AF65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4FCE7-EA1D-4A8C-AFF8-26C3CD2AB2FC}">
  <sheetPr>
    <tabColor theme="9" tint="0.39997558519241921"/>
  </sheetPr>
  <dimension ref="A2:S50"/>
  <sheetViews>
    <sheetView zoomScale="115" zoomScaleNormal="115" workbookViewId="0">
      <selection activeCell="K49" sqref="K49"/>
    </sheetView>
  </sheetViews>
  <sheetFormatPr defaultColWidth="9.109375" defaultRowHeight="14.4" x14ac:dyDescent="0.3"/>
  <cols>
    <col min="1" max="4" width="9.109375" style="21"/>
    <col min="5" max="5" width="11.109375" style="21" bestFit="1" customWidth="1"/>
    <col min="6" max="13" width="9.109375" style="21"/>
    <col min="14" max="14" width="10.6640625" style="21" bestFit="1" customWidth="1"/>
    <col min="15" max="15" width="9.109375" style="21" customWidth="1"/>
    <col min="16" max="16" width="10.77734375" style="21" customWidth="1"/>
    <col min="17" max="17" width="11.88671875" style="21" customWidth="1"/>
    <col min="18" max="18" width="11" style="21" bestFit="1" customWidth="1"/>
    <col min="19" max="19" width="11" style="21" customWidth="1"/>
    <col min="20" max="20" width="9.109375" style="21" customWidth="1"/>
    <col min="21" max="16384" width="9.109375" style="21"/>
  </cols>
  <sheetData>
    <row r="2" spans="1:19" ht="15" x14ac:dyDescent="0.3">
      <c r="A2" s="103" t="s">
        <v>213</v>
      </c>
    </row>
    <row r="3" spans="1:19" ht="15" x14ac:dyDescent="0.3">
      <c r="A3" s="103"/>
    </row>
    <row r="6" spans="1:19" x14ac:dyDescent="0.3">
      <c r="H6" s="104" t="s">
        <v>214</v>
      </c>
      <c r="I6" s="105"/>
      <c r="P6" s="158"/>
      <c r="Q6" s="158"/>
      <c r="R6" s="158"/>
      <c r="S6" s="158"/>
    </row>
    <row r="7" spans="1:19" x14ac:dyDescent="0.3">
      <c r="H7" s="105" t="s">
        <v>160</v>
      </c>
      <c r="I7" s="134">
        <f>('Dados Financeiros'!$P$23/'Dados Financeiros'!$G$23)^(1/9)-1</f>
        <v>0.27930093084490015</v>
      </c>
      <c r="P7" s="158"/>
      <c r="Q7" s="158"/>
      <c r="R7" s="158"/>
      <c r="S7" s="158"/>
    </row>
    <row r="8" spans="1:19" x14ac:dyDescent="0.3">
      <c r="C8" s="106">
        <f>('Dados Financeiros'!P20/'Dados Financeiros'!G20)^(1/9)-1</f>
        <v>0.34500914642883296</v>
      </c>
      <c r="D8" s="106"/>
      <c r="H8" s="105" t="s">
        <v>163</v>
      </c>
      <c r="I8" s="134">
        <f>('Dados Financeiros'!$P$28/'Dados Financeiros'!$G$28)^(1/9)-1</f>
        <v>0.35973891697076987</v>
      </c>
      <c r="M8" s="98"/>
      <c r="N8" s="133"/>
    </row>
    <row r="9" spans="1:19" x14ac:dyDescent="0.3">
      <c r="D9" s="106"/>
      <c r="H9" s="105" t="s">
        <v>167</v>
      </c>
      <c r="I9" s="134">
        <f>('Dados Financeiros'!$P$33/'Dados Financeiros'!$G$33)^(1/9)-1</f>
        <v>0.37626868305782435</v>
      </c>
      <c r="P9" s="128"/>
      <c r="Q9" s="128"/>
      <c r="R9" s="128"/>
      <c r="S9" s="128"/>
    </row>
    <row r="16" spans="1:19" x14ac:dyDescent="0.3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</row>
    <row r="17" spans="1:16" x14ac:dyDescent="0.3">
      <c r="A17" s="107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</row>
    <row r="18" spans="1:16" x14ac:dyDescent="0.3">
      <c r="A18" s="107"/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</row>
    <row r="19" spans="1:16" x14ac:dyDescent="0.3">
      <c r="A19" s="107"/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P19" s="128"/>
    </row>
    <row r="20" spans="1:16" x14ac:dyDescent="0.3">
      <c r="A20" s="107"/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</row>
    <row r="21" spans="1:16" x14ac:dyDescent="0.3">
      <c r="A21" s="107"/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</row>
    <row r="22" spans="1:16" x14ac:dyDescent="0.3">
      <c r="A22" s="107"/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</row>
    <row r="23" spans="1:16" x14ac:dyDescent="0.3">
      <c r="A23" s="107"/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</row>
    <row r="24" spans="1:16" x14ac:dyDescent="0.3">
      <c r="A24" s="107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</row>
    <row r="25" spans="1:16" x14ac:dyDescent="0.3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</row>
    <row r="26" spans="1:16" x14ac:dyDescent="0.3">
      <c r="A26" s="107"/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</row>
    <row r="27" spans="1:16" x14ac:dyDescent="0.3">
      <c r="A27" s="107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</row>
    <row r="28" spans="1:16" x14ac:dyDescent="0.3">
      <c r="A28" s="107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</row>
    <row r="29" spans="1:16" x14ac:dyDescent="0.3">
      <c r="A29" s="107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</row>
    <row r="30" spans="1:16" x14ac:dyDescent="0.3">
      <c r="A30" s="107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</row>
    <row r="31" spans="1:16" x14ac:dyDescent="0.3">
      <c r="A31" s="107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</row>
    <row r="32" spans="1:16" x14ac:dyDescent="0.3">
      <c r="A32" s="107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</row>
    <row r="33" spans="1:13" x14ac:dyDescent="0.3">
      <c r="A33" s="107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</row>
    <row r="34" spans="1:13" x14ac:dyDescent="0.3">
      <c r="A34" s="107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</row>
    <row r="35" spans="1:13" x14ac:dyDescent="0.3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</row>
    <row r="36" spans="1:13" x14ac:dyDescent="0.3">
      <c r="A36" s="107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</row>
    <row r="37" spans="1:13" x14ac:dyDescent="0.3">
      <c r="A37" s="107"/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</row>
    <row r="38" spans="1:13" x14ac:dyDescent="0.3">
      <c r="A38" s="107"/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</row>
    <row r="39" spans="1:13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</row>
    <row r="40" spans="1:13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</row>
    <row r="41" spans="1:13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</row>
    <row r="42" spans="1:13" x14ac:dyDescent="0.3">
      <c r="A42" s="107"/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</row>
    <row r="43" spans="1:13" x14ac:dyDescent="0.3">
      <c r="A43" s="107"/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</row>
    <row r="44" spans="1:13" x14ac:dyDescent="0.3">
      <c r="A44" s="107"/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</row>
    <row r="45" spans="1:13" x14ac:dyDescent="0.3">
      <c r="A45" s="107"/>
      <c r="B45" s="107"/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</row>
    <row r="46" spans="1:13" x14ac:dyDescent="0.3">
      <c r="A46" s="107"/>
      <c r="B46" s="107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</row>
    <row r="47" spans="1:13" x14ac:dyDescent="0.3">
      <c r="A47" s="107"/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</row>
    <row r="48" spans="1:13" x14ac:dyDescent="0.3">
      <c r="A48" s="107"/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</row>
    <row r="49" spans="1:13" x14ac:dyDescent="0.3">
      <c r="A49" s="107"/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</row>
    <row r="50" spans="1:13" x14ac:dyDescent="0.3">
      <c r="A50" s="107"/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</row>
  </sheetData>
  <printOptions horizontalCentered="1" verticalCentered="1"/>
  <pageMargins left="0.11811023622047245" right="0.11811023622047245" top="0.19685039370078741" bottom="0.19685039370078741" header="0.31496062992125984" footer="0.31496062992125984"/>
  <pageSetup paperSize="9" scale="80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D5003-08E2-4FE0-9F52-7E48001C42BB}">
  <sheetPr>
    <tabColor theme="9" tint="0.39997558519241921"/>
  </sheetPr>
  <dimension ref="A2:K36"/>
  <sheetViews>
    <sheetView workbookViewId="0">
      <selection activeCell="N14" sqref="N14"/>
    </sheetView>
  </sheetViews>
  <sheetFormatPr defaultColWidth="9.109375" defaultRowHeight="14.4" x14ac:dyDescent="0.3"/>
  <cols>
    <col min="1" max="5" width="9.6640625" style="21" customWidth="1"/>
    <col min="6" max="6" width="3.6640625" style="21" customWidth="1"/>
    <col min="7" max="11" width="9.6640625" style="21" customWidth="1"/>
    <col min="12" max="16384" width="9.109375" style="21"/>
  </cols>
  <sheetData>
    <row r="2" spans="1:11" ht="15" x14ac:dyDescent="0.3">
      <c r="A2" s="103" t="s">
        <v>218</v>
      </c>
    </row>
    <row r="3" spans="1:11" ht="15" x14ac:dyDescent="0.3">
      <c r="A3" s="103"/>
    </row>
    <row r="5" spans="1:11" x14ac:dyDescent="0.3">
      <c r="A5" s="109" t="s">
        <v>172</v>
      </c>
      <c r="B5" s="108"/>
      <c r="C5" s="108"/>
      <c r="D5" s="108"/>
      <c r="E5" s="108"/>
      <c r="G5" s="109" t="s">
        <v>173</v>
      </c>
      <c r="H5" s="108"/>
      <c r="I5" s="108"/>
      <c r="J5" s="108"/>
      <c r="K5" s="108"/>
    </row>
    <row r="6" spans="1:11" x14ac:dyDescent="0.3">
      <c r="A6" s="110" t="s">
        <v>214</v>
      </c>
      <c r="B6" s="111" t="s">
        <v>159</v>
      </c>
      <c r="C6" s="135">
        <f>('Dados Financeiros'!P5/'Dados Financeiros'!G5)^(1/9)-1</f>
        <v>5.3679861956570818E-2</v>
      </c>
      <c r="D6" s="111" t="s">
        <v>219</v>
      </c>
      <c r="E6" s="136">
        <f>('Dados Financeiros'!P41/'Dados Financeiros'!G41)^(1/9)-1</f>
        <v>0.11926157318152342</v>
      </c>
      <c r="G6" s="110" t="s">
        <v>214</v>
      </c>
      <c r="H6" s="111" t="s">
        <v>159</v>
      </c>
      <c r="I6" s="135">
        <f>('Dados Financeiros'!P6/'Dados Financeiros'!G6)^(1/9)-1</f>
        <v>0.26662810415325078</v>
      </c>
      <c r="J6" s="111" t="s">
        <v>219</v>
      </c>
      <c r="K6" s="136">
        <f>('Dados Financeiros'!P42/'Dados Financeiros'!G42)^(1/9)-1</f>
        <v>7.6716069278098598E-2</v>
      </c>
    </row>
    <row r="20" spans="1:11" x14ac:dyDescent="0.3">
      <c r="A20" s="109" t="s">
        <v>174</v>
      </c>
      <c r="B20" s="108"/>
      <c r="C20" s="108"/>
      <c r="D20" s="108"/>
      <c r="E20" s="108"/>
      <c r="G20" s="109" t="s">
        <v>163</v>
      </c>
      <c r="H20" s="108"/>
      <c r="I20" s="108"/>
      <c r="J20" s="108"/>
      <c r="K20" s="108"/>
    </row>
    <row r="21" spans="1:11" x14ac:dyDescent="0.3">
      <c r="A21" s="110" t="s">
        <v>214</v>
      </c>
      <c r="B21" s="111" t="s">
        <v>159</v>
      </c>
      <c r="C21" s="135">
        <f>('Dados Financeiros'!P7/'Dados Financeiros'!G7)^(1/9)-1</f>
        <v>0.21737993126231503</v>
      </c>
      <c r="D21" s="111" t="s">
        <v>219</v>
      </c>
      <c r="E21" s="136">
        <f>('Dados Financeiros'!P43/'Dados Financeiros'!G43)^(1/9)-1</f>
        <v>3.1139273065942108E-2</v>
      </c>
      <c r="G21" s="110" t="s">
        <v>214</v>
      </c>
      <c r="H21" s="111" t="s">
        <v>159</v>
      </c>
      <c r="I21" s="135">
        <f>('Dados Financeiros'!P9/'Dados Financeiros'!G9)^(1/9)-1</f>
        <v>0.30371909803456765</v>
      </c>
      <c r="J21" s="111" t="s">
        <v>219</v>
      </c>
      <c r="K21" s="136">
        <f>('Dados Financeiros'!P45/'Dados Financeiros'!G45)^(1/9)-1</f>
        <v>4.2969240092175953E-2</v>
      </c>
    </row>
    <row r="35" spans="1:11" x14ac:dyDescent="0.3">
      <c r="A35" s="109" t="s">
        <v>178</v>
      </c>
      <c r="B35" s="108"/>
      <c r="C35" s="108"/>
      <c r="D35" s="108"/>
      <c r="E35" s="108"/>
      <c r="G35" s="109" t="s">
        <v>220</v>
      </c>
      <c r="H35" s="108"/>
      <c r="I35" s="108"/>
      <c r="J35" s="108"/>
      <c r="K35" s="108"/>
    </row>
    <row r="36" spans="1:11" x14ac:dyDescent="0.3">
      <c r="A36" s="110" t="s">
        <v>214</v>
      </c>
      <c r="B36" s="111" t="s">
        <v>159</v>
      </c>
      <c r="C36" s="135">
        <f>('Dados Financeiros'!P15/'Dados Financeiros'!G15)^(1/9)-1</f>
        <v>0.26636678363800081</v>
      </c>
      <c r="D36" s="111" t="s">
        <v>219</v>
      </c>
      <c r="E36" s="136">
        <f>('Dados Financeiros'!P51/'Dados Financeiros'!G51)^(1/9)-1</f>
        <v>0.13020009718696546</v>
      </c>
      <c r="G36" s="110" t="s">
        <v>214</v>
      </c>
      <c r="H36" s="111" t="s">
        <v>159</v>
      </c>
      <c r="I36" s="135">
        <f>('Dados Financeiros'!P16/'Dados Financeiros'!G16)^(1/9)-1</f>
        <v>0.28619986445784473</v>
      </c>
      <c r="J36" s="111" t="s">
        <v>219</v>
      </c>
      <c r="K36" s="136">
        <f>('Dados Financeiros'!P52/'Dados Financeiros'!G52)^(1/9)-1</f>
        <v>3.9711481961785866E-2</v>
      </c>
    </row>
  </sheetData>
  <pageMargins left="0.31496062992125984" right="0.31496062992125984" top="0.78740157480314965" bottom="0.78740157480314965" header="0.31496062992125984" footer="0.31496062992125984"/>
  <pageSetup paperSize="9" scale="9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2</vt:i4>
      </vt:variant>
    </vt:vector>
  </HeadingPairs>
  <TitlesOfParts>
    <vt:vector size="10" baseType="lpstr">
      <vt:lpstr>Ativo</vt:lpstr>
      <vt:lpstr>Passivo</vt:lpstr>
      <vt:lpstr>DRE_ACM</vt:lpstr>
      <vt:lpstr>DRE_TRI</vt:lpstr>
      <vt:lpstr>Fluxo de Caixa</vt:lpstr>
      <vt:lpstr>Dados Financeiros</vt:lpstr>
      <vt:lpstr>Principais Num</vt:lpstr>
      <vt:lpstr>Dados Operacionais</vt:lpstr>
      <vt:lpstr>'Dados Operacionais'!Area_de_impressao</vt:lpstr>
      <vt:lpstr>'Principais Num'!Area_de_impressao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José Motter - 3 Tentos</dc:creator>
  <cp:lastModifiedBy>Stefano Riera Bing - 3tentos</cp:lastModifiedBy>
  <cp:lastPrinted>2021-11-04T13:41:31Z</cp:lastPrinted>
  <dcterms:created xsi:type="dcterms:W3CDTF">2021-11-04T12:05:51Z</dcterms:created>
  <dcterms:modified xsi:type="dcterms:W3CDTF">2026-08-07T12:13:20Z</dcterms:modified>
</cp:coreProperties>
</file>