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no365.sharepoint.com/sites/GernciadeRelaescomInvestidores-DivulgaodeResultados/Shared Documents/Guia de Modelagem/"/>
    </mc:Choice>
  </mc:AlternateContent>
  <xr:revisionPtr revIDLastSave="5203" documentId="13_ncr:1_{A3FE7488-6F4D-40D4-BD57-9E339E89DDB9}" xr6:coauthVersionLast="47" xr6:coauthVersionMax="47" xr10:uidLastSave="{FC829435-151C-478B-B575-0283FBBBF1E3}"/>
  <bookViews>
    <workbookView xWindow="-120" yWindow="-120" windowWidth="20730" windowHeight="11040" tabRatio="830" xr2:uid="{0C95ACEC-39D7-4421-9405-7811D77F933F}"/>
  </bookViews>
  <sheets>
    <sheet name="Menu" sheetId="2" r:id="rId1"/>
    <sheet name="Destaques | Highlights" sheetId="4" r:id="rId2"/>
    <sheet name="Operacional | Operational" sheetId="3" r:id="rId3"/>
    <sheet name="Projeções | Guidance" sheetId="8" r:id="rId4"/>
    <sheet name="Bal Patrimonial | Balance Sheet" sheetId="5" r:id="rId5"/>
    <sheet name="DRE | Income Statement" sheetId="6" r:id="rId6"/>
    <sheet name="Fluxo de Caixa | Cash Flow" sheetId="7" r:id="rId7"/>
  </sheets>
  <externalReferences>
    <externalReference r:id="rId8"/>
    <externalReference r:id="rId9"/>
    <externalReference r:id="rId10"/>
  </externalReferences>
  <definedNames>
    <definedName name="_xlnm._FilterDatabase" localSheetId="4" hidden="1">'Bal Patrimonial | Balance Sheet'!$A$1:$A$82</definedName>
    <definedName name="_xlnm._FilterDatabase" localSheetId="5" hidden="1">'DRE | Income Statement'!#REF!</definedName>
    <definedName name="_xlnm._FilterDatabase" localSheetId="2" hidden="1">'Operacional | Operational'!$A$5:$A$12</definedName>
    <definedName name="_xlnm._FilterDatabase" localSheetId="3" hidden="1">'Projeções | Guidance'!#REF!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11" i="3" l="1"/>
  <c r="AM9" i="3"/>
  <c r="AM11" i="3"/>
  <c r="AM7" i="3"/>
  <c r="AG11" i="3"/>
  <c r="AG10" i="3"/>
  <c r="AG9" i="3"/>
  <c r="O11" i="3"/>
  <c r="O10" i="3"/>
  <c r="O9" i="3"/>
  <c r="AA11" i="3"/>
  <c r="AA10" i="3"/>
  <c r="AA9" i="3"/>
  <c r="AE57" i="7" l="1"/>
  <c r="AS33" i="6"/>
  <c r="AS44" i="6" l="1"/>
  <c r="AS38" i="6"/>
  <c r="AS39" i="6"/>
  <c r="AS40" i="6"/>
  <c r="AS41" i="6"/>
  <c r="AS42" i="6"/>
  <c r="AS43" i="6"/>
  <c r="AS45" i="6"/>
  <c r="AS46" i="6"/>
  <c r="AS47" i="6"/>
  <c r="AS48" i="6"/>
  <c r="AS49" i="6"/>
  <c r="AS50" i="6"/>
  <c r="AS51" i="6"/>
  <c r="AS52" i="6"/>
  <c r="AS53" i="6"/>
  <c r="AS37" i="6"/>
  <c r="AS13" i="6"/>
  <c r="AP13" i="6"/>
  <c r="AS10" i="6"/>
  <c r="AS11" i="6"/>
  <c r="AS12" i="6"/>
  <c r="AS14" i="6"/>
  <c r="AS15" i="6"/>
  <c r="AS16" i="6"/>
  <c r="AS17" i="6"/>
  <c r="AS18" i="6"/>
  <c r="AS19" i="6"/>
  <c r="AS20" i="6"/>
  <c r="AS21" i="6"/>
  <c r="AS22" i="6"/>
  <c r="AS23" i="6"/>
  <c r="AS24" i="6"/>
  <c r="AS25" i="6"/>
  <c r="AS26" i="6"/>
  <c r="AS27" i="6"/>
  <c r="AS28" i="6"/>
  <c r="AS29" i="6"/>
  <c r="AS30" i="6"/>
  <c r="AS31" i="6"/>
  <c r="AS32" i="6"/>
  <c r="AS6" i="6"/>
  <c r="AS7" i="6"/>
  <c r="AS8" i="6"/>
  <c r="AS9" i="6"/>
  <c r="AP24" i="6"/>
  <c r="AE59" i="7" l="1"/>
  <c r="AE58" i="7"/>
  <c r="AE34" i="7"/>
  <c r="AP44" i="6"/>
  <c r="AE56" i="5"/>
  <c r="AE45" i="5"/>
  <c r="AE65" i="5" s="1"/>
  <c r="AE32" i="5"/>
  <c r="AE29" i="5"/>
  <c r="AE16" i="5"/>
  <c r="AE6" i="5"/>
  <c r="AJ16" i="4"/>
  <c r="AJ12" i="4"/>
  <c r="AE45" i="7" l="1"/>
  <c r="AE39" i="7"/>
  <c r="AE19" i="7"/>
  <c r="AE5" i="7"/>
  <c r="AF12" i="4" l="1"/>
  <c r="AF16" i="4"/>
  <c r="AI16" i="4"/>
  <c r="AI13" i="4"/>
  <c r="AI12" i="4"/>
  <c r="AK45" i="6" l="1"/>
  <c r="AL45" i="6"/>
  <c r="AO45" i="6"/>
  <c r="AK44" i="6"/>
  <c r="AL44" i="6"/>
  <c r="AO38" i="6"/>
  <c r="AO40" i="6"/>
  <c r="AO43" i="6" s="1"/>
  <c r="AO44" i="6" s="1"/>
  <c r="AL13" i="6"/>
  <c r="AD58" i="7" l="1"/>
  <c r="AD45" i="7"/>
  <c r="AD57" i="7" s="1"/>
  <c r="AD59" i="7" s="1"/>
  <c r="AD39" i="7"/>
  <c r="AD5" i="7"/>
  <c r="AD34" i="7"/>
  <c r="AD19" i="7"/>
  <c r="AO13" i="6"/>
  <c r="AD50" i="5"/>
  <c r="AD45" i="5" s="1"/>
  <c r="AD56" i="5"/>
  <c r="AD40" i="5"/>
  <c r="AD32" i="5"/>
  <c r="AD16" i="5"/>
  <c r="AD29" i="5" s="1"/>
  <c r="AD6" i="5"/>
  <c r="AB6" i="5"/>
  <c r="AG4" i="7"/>
  <c r="AF4" i="7"/>
  <c r="AE4" i="7"/>
  <c r="AD4" i="7"/>
  <c r="AS5" i="6"/>
  <c r="AS36" i="6" s="1"/>
  <c r="AR5" i="6"/>
  <c r="AR36" i="6" s="1"/>
  <c r="AQ5" i="6"/>
  <c r="AQ36" i="6" s="1"/>
  <c r="AO5" i="6"/>
  <c r="AO36" i="6" s="1"/>
  <c r="AG4" i="5"/>
  <c r="AF4" i="5"/>
  <c r="AD4" i="5"/>
  <c r="AM4" i="3"/>
  <c r="AL4" i="3"/>
  <c r="AK4" i="3"/>
  <c r="AJ4" i="3"/>
  <c r="AI4" i="3"/>
  <c r="AM4" i="4"/>
  <c r="AM8" i="4" s="1"/>
  <c r="AL4" i="4"/>
  <c r="AL8" i="4" s="1"/>
  <c r="AK4" i="4"/>
  <c r="AK8" i="4" s="1"/>
  <c r="AJ4" i="4"/>
  <c r="AJ8" i="4" s="1"/>
  <c r="AI4" i="4"/>
  <c r="AI8" i="4" s="1"/>
  <c r="AM5" i="6"/>
  <c r="AM36" i="6" s="1"/>
  <c r="AL5" i="6"/>
  <c r="AL36" i="6" s="1"/>
  <c r="AK5" i="6"/>
  <c r="AK36" i="6" s="1"/>
  <c r="AJ5" i="6"/>
  <c r="AJ36" i="6" s="1"/>
  <c r="AI5" i="6"/>
  <c r="AI36" i="6" s="1"/>
  <c r="AG5" i="6"/>
  <c r="AG36" i="6" s="1"/>
  <c r="AF5" i="6"/>
  <c r="AF36" i="6" s="1"/>
  <c r="AE5" i="6"/>
  <c r="AE36" i="6" s="1"/>
  <c r="AD5" i="6"/>
  <c r="AD36" i="6" s="1"/>
  <c r="AC5" i="6"/>
  <c r="AC36" i="6" s="1"/>
  <c r="AA5" i="6"/>
  <c r="AA36" i="6" s="1"/>
  <c r="Z5" i="6"/>
  <c r="Z36" i="6" s="1"/>
  <c r="Y5" i="6"/>
  <c r="Y36" i="6" s="1"/>
  <c r="X5" i="6"/>
  <c r="X36" i="6" s="1"/>
  <c r="W5" i="6"/>
  <c r="W36" i="6" s="1"/>
  <c r="U5" i="6"/>
  <c r="U36" i="6" s="1"/>
  <c r="T5" i="6"/>
  <c r="T36" i="6" s="1"/>
  <c r="S5" i="6"/>
  <c r="S36" i="6" s="1"/>
  <c r="R5" i="6"/>
  <c r="R36" i="6" s="1"/>
  <c r="Q5" i="6"/>
  <c r="Q36" i="6" s="1"/>
  <c r="O5" i="6"/>
  <c r="O36" i="6" s="1"/>
  <c r="N5" i="6"/>
  <c r="N36" i="6" s="1"/>
  <c r="M5" i="6"/>
  <c r="M36" i="6" s="1"/>
  <c r="L5" i="6"/>
  <c r="L36" i="6" s="1"/>
  <c r="K5" i="6"/>
  <c r="K36" i="6" s="1"/>
  <c r="F5" i="6"/>
  <c r="F36" i="6" s="1"/>
  <c r="G5" i="6"/>
  <c r="G36" i="6" s="1"/>
  <c r="H5" i="6"/>
  <c r="H36" i="6" s="1"/>
  <c r="I5" i="6"/>
  <c r="I36" i="6" s="1"/>
  <c r="E5" i="6"/>
  <c r="E36" i="6" s="1"/>
  <c r="AB4" i="7"/>
  <c r="AA4" i="7"/>
  <c r="Z4" i="7"/>
  <c r="Y4" i="7"/>
  <c r="W4" i="7"/>
  <c r="V4" i="7"/>
  <c r="U4" i="7"/>
  <c r="T4" i="7"/>
  <c r="R4" i="7"/>
  <c r="Q4" i="7"/>
  <c r="P4" i="7"/>
  <c r="O4" i="7"/>
  <c r="M4" i="7"/>
  <c r="L4" i="7"/>
  <c r="K4" i="7"/>
  <c r="J4" i="7"/>
  <c r="F4" i="7"/>
  <c r="G4" i="7"/>
  <c r="H4" i="7"/>
  <c r="E4" i="7"/>
  <c r="K56" i="5"/>
  <c r="F5" i="8"/>
  <c r="G5" i="8"/>
  <c r="H5" i="8"/>
  <c r="I5" i="8"/>
  <c r="J5" i="8"/>
  <c r="K5" i="8"/>
  <c r="L5" i="8"/>
  <c r="M5" i="8"/>
  <c r="N5" i="8"/>
  <c r="E5" i="8"/>
  <c r="N5" i="4"/>
  <c r="M5" i="4"/>
  <c r="I11" i="4"/>
  <c r="I9" i="4"/>
  <c r="AD65" i="5" l="1"/>
  <c r="I15" i="4"/>
  <c r="L45" i="7"/>
  <c r="L39" i="7"/>
  <c r="L34" i="7"/>
  <c r="L19" i="7"/>
  <c r="AM33" i="6"/>
  <c r="AG32" i="6"/>
  <c r="AG31" i="6"/>
  <c r="AG29" i="6"/>
  <c r="AG28" i="6"/>
  <c r="AG27" i="6"/>
  <c r="AG25" i="6"/>
  <c r="AG24" i="6"/>
  <c r="AG23" i="6"/>
  <c r="AG22" i="6"/>
  <c r="AG20" i="6"/>
  <c r="AG17" i="6"/>
  <c r="AG15" i="6"/>
  <c r="AG11" i="6"/>
  <c r="AG10" i="6"/>
  <c r="AG8" i="6"/>
  <c r="AG7" i="6"/>
  <c r="Y56" i="5"/>
  <c r="Z45" i="5"/>
  <c r="Y45" i="5"/>
  <c r="Z32" i="5"/>
  <c r="Y32" i="5"/>
  <c r="Z16" i="5"/>
  <c r="Y16" i="5"/>
  <c r="Y6" i="5"/>
  <c r="AB45" i="5"/>
  <c r="AB16" i="5"/>
  <c r="W58" i="5"/>
  <c r="W59" i="5"/>
  <c r="V58" i="5"/>
  <c r="W57" i="5"/>
  <c r="V57" i="5"/>
  <c r="W45" i="5"/>
  <c r="W32" i="5"/>
  <c r="V32" i="5"/>
  <c r="V6" i="5"/>
  <c r="T56" i="5"/>
  <c r="U45" i="5"/>
  <c r="U32" i="5"/>
  <c r="T6" i="5"/>
  <c r="AB56" i="5"/>
  <c r="AB65" i="5" s="1"/>
  <c r="AA56" i="5"/>
  <c r="Z56" i="5"/>
  <c r="AA45" i="5"/>
  <c r="V45" i="5"/>
  <c r="AB32" i="5"/>
  <c r="AA32" i="5"/>
  <c r="T32" i="5"/>
  <c r="AA16" i="5"/>
  <c r="W16" i="5"/>
  <c r="V16" i="5"/>
  <c r="U16" i="5"/>
  <c r="T16" i="5"/>
  <c r="AA6" i="5"/>
  <c r="Z6" i="5"/>
  <c r="R56" i="5"/>
  <c r="Q56" i="5"/>
  <c r="P56" i="5"/>
  <c r="O56" i="5"/>
  <c r="R45" i="5"/>
  <c r="Q45" i="5"/>
  <c r="P45" i="5"/>
  <c r="O45" i="5"/>
  <c r="R32" i="5"/>
  <c r="Q32" i="5"/>
  <c r="P32" i="5"/>
  <c r="O32" i="5"/>
  <c r="R16" i="5"/>
  <c r="Q16" i="5"/>
  <c r="P16" i="5"/>
  <c r="O16" i="5"/>
  <c r="R6" i="5"/>
  <c r="Q6" i="5"/>
  <c r="P6" i="5"/>
  <c r="O6" i="5"/>
  <c r="J32" i="5"/>
  <c r="M56" i="5"/>
  <c r="L56" i="5"/>
  <c r="J56" i="5"/>
  <c r="M45" i="5"/>
  <c r="L45" i="5"/>
  <c r="K45" i="5"/>
  <c r="J45" i="5"/>
  <c r="M32" i="5"/>
  <c r="L32" i="5"/>
  <c r="K32" i="5"/>
  <c r="H32" i="5"/>
  <c r="M16" i="5"/>
  <c r="L16" i="5"/>
  <c r="K16" i="5"/>
  <c r="J16" i="5"/>
  <c r="M6" i="5"/>
  <c r="L6" i="5"/>
  <c r="K6" i="5"/>
  <c r="J6" i="5"/>
  <c r="H6" i="5"/>
  <c r="H45" i="5"/>
  <c r="E45" i="5"/>
  <c r="G45" i="5"/>
  <c r="F45" i="5"/>
  <c r="F56" i="5"/>
  <c r="G56" i="5"/>
  <c r="H56" i="5"/>
  <c r="G32" i="5"/>
  <c r="F32" i="5"/>
  <c r="F16" i="5"/>
  <c r="G16" i="5"/>
  <c r="H16" i="5"/>
  <c r="H29" i="5" s="1"/>
  <c r="F6" i="5"/>
  <c r="G6" i="5"/>
  <c r="E56" i="5"/>
  <c r="E32" i="5"/>
  <c r="E16" i="5"/>
  <c r="E6" i="5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5" i="8"/>
  <c r="K65" i="5" l="1"/>
  <c r="V56" i="5"/>
  <c r="L5" i="7"/>
  <c r="L57" i="7" s="1"/>
  <c r="Y65" i="5"/>
  <c r="AG14" i="6"/>
  <c r="AG9" i="6"/>
  <c r="AG6" i="6"/>
  <c r="AA29" i="5"/>
  <c r="Z29" i="5"/>
  <c r="Z65" i="5"/>
  <c r="AA65" i="5"/>
  <c r="Y29" i="5"/>
  <c r="AB29" i="5"/>
  <c r="W56" i="5"/>
  <c r="W65" i="5" s="1"/>
  <c r="V65" i="5"/>
  <c r="V29" i="5"/>
  <c r="W6" i="5"/>
  <c r="W29" i="5" s="1"/>
  <c r="U56" i="5"/>
  <c r="U65" i="5" s="1"/>
  <c r="T45" i="5"/>
  <c r="T65" i="5" s="1"/>
  <c r="T29" i="5"/>
  <c r="U6" i="5"/>
  <c r="U29" i="5" s="1"/>
  <c r="Q65" i="5"/>
  <c r="R65" i="5"/>
  <c r="R29" i="5"/>
  <c r="O29" i="5"/>
  <c r="Q29" i="5"/>
  <c r="P65" i="5"/>
  <c r="O65" i="5"/>
  <c r="P29" i="5"/>
  <c r="M29" i="5"/>
  <c r="L29" i="5"/>
  <c r="K29" i="5"/>
  <c r="L65" i="5"/>
  <c r="M65" i="5"/>
  <c r="J65" i="5"/>
  <c r="J29" i="5"/>
  <c r="F29" i="5"/>
  <c r="G29" i="5"/>
  <c r="F65" i="5"/>
  <c r="H65" i="5"/>
  <c r="G65" i="5"/>
  <c r="E29" i="5"/>
  <c r="E65" i="5"/>
  <c r="A7" i="3"/>
  <c r="A8" i="3"/>
  <c r="A9" i="3"/>
  <c r="A10" i="3"/>
  <c r="A11" i="3"/>
  <c r="A12" i="3"/>
  <c r="A13" i="3"/>
  <c r="A14" i="3"/>
  <c r="A15" i="3"/>
  <c r="A16" i="3"/>
  <c r="A17" i="3"/>
  <c r="A6" i="3"/>
  <c r="AG7" i="3"/>
  <c r="AA7" i="3"/>
  <c r="U7" i="3"/>
  <c r="O7" i="3"/>
  <c r="I7" i="3"/>
  <c r="AG12" i="6" l="1"/>
  <c r="AG13" i="6" s="1"/>
  <c r="AG21" i="6"/>
  <c r="AG4" i="3"/>
  <c r="AF4" i="3"/>
  <c r="AE4" i="3"/>
  <c r="AD4" i="3"/>
  <c r="AC4" i="3"/>
  <c r="AA4" i="3"/>
  <c r="Z4" i="3"/>
  <c r="Y4" i="3"/>
  <c r="X4" i="3"/>
  <c r="W4" i="3"/>
  <c r="U4" i="3"/>
  <c r="T4" i="3"/>
  <c r="S4" i="3"/>
  <c r="R4" i="3"/>
  <c r="Q4" i="3"/>
  <c r="O4" i="3"/>
  <c r="N4" i="3"/>
  <c r="M4" i="3"/>
  <c r="L4" i="3"/>
  <c r="K4" i="3"/>
  <c r="I4" i="3"/>
  <c r="H4" i="3"/>
  <c r="G4" i="3"/>
  <c r="F4" i="3"/>
  <c r="E4" i="3"/>
  <c r="A4" i="7"/>
  <c r="O4" i="5"/>
  <c r="AB4" i="5"/>
  <c r="AA4" i="5"/>
  <c r="Z4" i="5"/>
  <c r="Y4" i="5"/>
  <c r="W4" i="5"/>
  <c r="V4" i="5"/>
  <c r="U4" i="5"/>
  <c r="T4" i="5"/>
  <c r="R4" i="5"/>
  <c r="Q4" i="5"/>
  <c r="P4" i="5"/>
  <c r="M4" i="5"/>
  <c r="L4" i="5"/>
  <c r="K4" i="5"/>
  <c r="J4" i="5"/>
  <c r="H4" i="5"/>
  <c r="G4" i="5"/>
  <c r="F4" i="5"/>
  <c r="E4" i="5"/>
  <c r="AG4" i="4"/>
  <c r="AF4" i="4"/>
  <c r="AE4" i="4"/>
  <c r="AD4" i="4"/>
  <c r="AC4" i="4"/>
  <c r="AA4" i="4"/>
  <c r="Z4" i="4"/>
  <c r="Y4" i="4"/>
  <c r="X4" i="4"/>
  <c r="W4" i="4"/>
  <c r="U4" i="4"/>
  <c r="T4" i="4"/>
  <c r="S4" i="4"/>
  <c r="R4" i="4"/>
  <c r="Q4" i="4"/>
  <c r="O4" i="4"/>
  <c r="N4" i="4"/>
  <c r="M4" i="4"/>
  <c r="L4" i="4"/>
  <c r="K4" i="4"/>
  <c r="I4" i="4"/>
  <c r="F4" i="4"/>
  <c r="F8" i="4" s="1"/>
  <c r="G4" i="4"/>
  <c r="H4" i="4"/>
  <c r="E4" i="4"/>
  <c r="E8" i="4" s="1"/>
  <c r="L58" i="7" l="1"/>
  <c r="L59" i="7" s="1"/>
  <c r="AG30" i="6"/>
  <c r="AG26" i="6"/>
  <c r="A5" i="7" l="1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5" i="6"/>
  <c r="A4" i="6"/>
  <c r="A35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36" i="6"/>
  <c r="A6" i="6"/>
  <c r="A7" i="6"/>
  <c r="A8" i="6"/>
  <c r="A9" i="6"/>
  <c r="A10" i="6"/>
  <c r="A11" i="6"/>
  <c r="A12" i="6"/>
  <c r="A13" i="6"/>
  <c r="A14" i="6"/>
  <c r="A15" i="6"/>
  <c r="A16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4" i="5"/>
  <c r="A4" i="4"/>
  <c r="A8" i="4"/>
  <c r="A9" i="4"/>
  <c r="A10" i="4"/>
  <c r="A11" i="4"/>
  <c r="A12" i="4"/>
  <c r="A13" i="4"/>
  <c r="A14" i="4"/>
  <c r="A15" i="4"/>
  <c r="A16" i="4"/>
  <c r="G8" i="4" l="1"/>
  <c r="H8" i="4"/>
  <c r="I8" i="4"/>
  <c r="J4" i="4"/>
  <c r="J8" i="4" s="1"/>
  <c r="K8" i="4"/>
  <c r="L8" i="4"/>
  <c r="M8" i="4"/>
  <c r="O8" i="4"/>
  <c r="P4" i="4"/>
  <c r="P8" i="4" s="1"/>
  <c r="Q8" i="4"/>
  <c r="S8" i="4"/>
  <c r="T8" i="4"/>
  <c r="U8" i="4"/>
  <c r="V4" i="4"/>
  <c r="V8" i="4" s="1"/>
  <c r="W8" i="4"/>
  <c r="X8" i="4"/>
  <c r="Y8" i="4"/>
  <c r="AA8" i="4"/>
  <c r="AB4" i="4"/>
  <c r="AB8" i="4" s="1"/>
  <c r="AC8" i="4"/>
  <c r="AD8" i="4"/>
  <c r="AG8" i="4"/>
  <c r="N8" i="4"/>
  <c r="R8" i="4"/>
  <c r="Z8" i="4"/>
  <c r="AE8" i="4"/>
  <c r="AF8" i="4"/>
  <c r="E4" i="2" l="1"/>
</calcChain>
</file>

<file path=xl/sharedStrings.xml><?xml version="1.0" encoding="utf-8"?>
<sst xmlns="http://schemas.openxmlformats.org/spreadsheetml/2006/main" count="745" uniqueCount="455">
  <si>
    <t>Português/Portuguese</t>
  </si>
  <si>
    <t>Inglês/English</t>
  </si>
  <si>
    <t>Informações Financeiras e Operacionais</t>
  </si>
  <si>
    <t>Financial and Operational Information</t>
  </si>
  <si>
    <t>Lingua/Language</t>
  </si>
  <si>
    <t/>
  </si>
  <si>
    <t>Unit Net Revenue (US$/t)</t>
  </si>
  <si>
    <t>Receita Líquida Unitária (US$/wmt)</t>
  </si>
  <si>
    <t>C1 Cost (US$)</t>
  </si>
  <si>
    <t>Custo C1 (US$)</t>
  </si>
  <si>
    <t>C1 Cost</t>
  </si>
  <si>
    <t>Platts (IODEX, Fe62%, North China)(US$)</t>
  </si>
  <si>
    <t>Platts (IODEX, Fe62%, Norte da China) (US$)</t>
  </si>
  <si>
    <t>Platts (US$)</t>
  </si>
  <si>
    <t>Foreign Market</t>
  </si>
  <si>
    <t xml:space="preserve">Mercado Externo </t>
  </si>
  <si>
    <t>Domestic Market</t>
  </si>
  <si>
    <t xml:space="preserve">Mercado Interno </t>
  </si>
  <si>
    <t>Iron Ore Sales Volume (Thousand tons)</t>
  </si>
  <si>
    <t>Volume de Vendas de Minério (mil toneladas)</t>
  </si>
  <si>
    <t>Iron Ore Production + Purchases (Thousand tons)</t>
  </si>
  <si>
    <t>Volume de Produção + Compras (mil toneladas)</t>
  </si>
  <si>
    <t>3Q26</t>
  </si>
  <si>
    <t>3Q25</t>
  </si>
  <si>
    <t>2Q25</t>
  </si>
  <si>
    <t>1Q25</t>
  </si>
  <si>
    <t>4Q24</t>
  </si>
  <si>
    <t>3Q24</t>
  </si>
  <si>
    <t>2Q24</t>
  </si>
  <si>
    <t>1Q24</t>
  </si>
  <si>
    <t>4Q23</t>
  </si>
  <si>
    <t>3Q23</t>
  </si>
  <si>
    <t>2Q23</t>
  </si>
  <si>
    <t>1Q23</t>
  </si>
  <si>
    <t>4Q22</t>
  </si>
  <si>
    <t>3Q22</t>
  </si>
  <si>
    <t>2Q22</t>
  </si>
  <si>
    <t>1Q22</t>
  </si>
  <si>
    <t>4Q21</t>
  </si>
  <si>
    <t>3Q21</t>
  </si>
  <si>
    <t>2Q21</t>
  </si>
  <si>
    <t>1Q21</t>
  </si>
  <si>
    <t>4Q20</t>
  </si>
  <si>
    <t>3Q20</t>
  </si>
  <si>
    <t>2Q20</t>
  </si>
  <si>
    <t>1Q20</t>
  </si>
  <si>
    <t>4T25</t>
  </si>
  <si>
    <t>3T25</t>
  </si>
  <si>
    <t>2T25</t>
  </si>
  <si>
    <t>1T25</t>
  </si>
  <si>
    <t>4T24</t>
  </si>
  <si>
    <t>3T24</t>
  </si>
  <si>
    <t>2T24</t>
  </si>
  <si>
    <t>1T24</t>
  </si>
  <si>
    <t>4T23</t>
  </si>
  <si>
    <t>3T23</t>
  </si>
  <si>
    <t>2T23</t>
  </si>
  <si>
    <t>1T23</t>
  </si>
  <si>
    <t>4T22</t>
  </si>
  <si>
    <t>3T22</t>
  </si>
  <si>
    <t>2T22</t>
  </si>
  <si>
    <t>1T22</t>
  </si>
  <si>
    <t>4T21</t>
  </si>
  <si>
    <t>3T21</t>
  </si>
  <si>
    <t>2T21</t>
  </si>
  <si>
    <t>1T21</t>
  </si>
  <si>
    <t>4T20</t>
  </si>
  <si>
    <t>3T20</t>
  </si>
  <si>
    <t>2T20</t>
  </si>
  <si>
    <t>1T20</t>
  </si>
  <si>
    <t>Adjusted EBITDA</t>
  </si>
  <si>
    <t>EBITDA Ajustado</t>
  </si>
  <si>
    <t>Gross Margin (%)</t>
  </si>
  <si>
    <t>Margem Bruta (%)</t>
  </si>
  <si>
    <t>Gross Profit</t>
  </si>
  <si>
    <t>Lucro Bruto</t>
  </si>
  <si>
    <t>Cost of Goods Sold (COGS)</t>
  </si>
  <si>
    <t>Net Revenue</t>
  </si>
  <si>
    <t>Mercado Externo</t>
  </si>
  <si>
    <t>Mercado Interno</t>
  </si>
  <si>
    <t>Highlights (Values in thousand tons)</t>
  </si>
  <si>
    <t>Destaque (Valores em mil toneladas)</t>
  </si>
  <si>
    <t>Total do Passivo e Patrimônio Líquido</t>
  </si>
  <si>
    <t>Outros Resultados Abrangentes</t>
  </si>
  <si>
    <t>Lucro/(Prejuizo) Acumulado</t>
  </si>
  <si>
    <t>Reservas de Lucros</t>
  </si>
  <si>
    <t>Reserva de Capital</t>
  </si>
  <si>
    <t>Capital Social Realizado</t>
  </si>
  <si>
    <t>Equity</t>
  </si>
  <si>
    <t>Patrimônio Líquido</t>
  </si>
  <si>
    <t>Provisões Fiscais, Previdenciárias, Trabalhistas e Cívies</t>
  </si>
  <si>
    <t>Deferred Taxes</t>
  </si>
  <si>
    <t>Tributos Diferidos</t>
  </si>
  <si>
    <t>Outras Obrigações</t>
  </si>
  <si>
    <t>Derivative financial instruments</t>
  </si>
  <si>
    <t>Instrumentos financeiros derivativos</t>
  </si>
  <si>
    <t>Passivos de Arrendamento</t>
  </si>
  <si>
    <t>Advance of customers</t>
  </si>
  <si>
    <t>Adiantamento de clientes</t>
  </si>
  <si>
    <t>Outras obrigações</t>
  </si>
  <si>
    <t>Loans, Financing and Debentures</t>
  </si>
  <si>
    <t>Empréstimos, Financiamentos e Debêntures</t>
  </si>
  <si>
    <t>Non-Current Liabilities</t>
  </si>
  <si>
    <t>Passivo Não Circulante</t>
  </si>
  <si>
    <t>Tax, Social Security, Labor and Civil Provisions</t>
  </si>
  <si>
    <t>Dividendos e JCP a pagar</t>
  </si>
  <si>
    <t>Loans and Financing</t>
  </si>
  <si>
    <t>Empréstimos e Financiamentos</t>
  </si>
  <si>
    <t>Obrigações Fiscais</t>
  </si>
  <si>
    <t>Suppliers</t>
  </si>
  <si>
    <t>Fornecedores</t>
  </si>
  <si>
    <t>Obrigações Sociais e Trabalhistas</t>
  </si>
  <si>
    <t>Current Liabilities</t>
  </si>
  <si>
    <t>Liabilities and Equity</t>
  </si>
  <si>
    <t>Total Assets</t>
  </si>
  <si>
    <t>Total do Ativo</t>
  </si>
  <si>
    <t>Intangível</t>
  </si>
  <si>
    <t>Direito de Uso em Arrendamento</t>
  </si>
  <si>
    <t>Imobilizado em Operação</t>
  </si>
  <si>
    <t>Imobilizado</t>
  </si>
  <si>
    <t>Investments</t>
  </si>
  <si>
    <t>Investimentos</t>
  </si>
  <si>
    <t>Other</t>
  </si>
  <si>
    <t>Outros</t>
  </si>
  <si>
    <t>Taxes to be recovered</t>
  </si>
  <si>
    <t>Outros Ativos Não Circulantes</t>
  </si>
  <si>
    <t>Inventory</t>
  </si>
  <si>
    <t>Estoques</t>
  </si>
  <si>
    <t>Non current Assets</t>
  </si>
  <si>
    <t>Ativo Não Circulante</t>
  </si>
  <si>
    <t>Recoverable Taxes</t>
  </si>
  <si>
    <t>Accounts Receivable</t>
  </si>
  <si>
    <t>Aplicações Financeiras</t>
  </si>
  <si>
    <t>Caixa e Equivalentes de Caixa</t>
  </si>
  <si>
    <t>Current Assets</t>
  </si>
  <si>
    <t>Ativo Circulante</t>
  </si>
  <si>
    <t>Assets</t>
  </si>
  <si>
    <t>Ativo</t>
  </si>
  <si>
    <t>Values in R$ ('000)</t>
  </si>
  <si>
    <t>Valores em R$ ('000)</t>
  </si>
  <si>
    <t>Basic Earnings per Common Share (ON)</t>
  </si>
  <si>
    <t>Lucro Básico por Ação ON</t>
  </si>
  <si>
    <t>Attributable to Non-Controlling Interests</t>
  </si>
  <si>
    <t>Atribuído a Sócios Não Controladores</t>
  </si>
  <si>
    <t>Attributable to Owners of the Controller Company</t>
  </si>
  <si>
    <t>Atribuído a Sócios da Empresa Controladora</t>
  </si>
  <si>
    <t>Consolidated Profit/(Loss) for the Period</t>
  </si>
  <si>
    <t>Lucro/Prejuízo Consolidado do Período</t>
  </si>
  <si>
    <t>Net Profit from Discontinued Operations</t>
  </si>
  <si>
    <t>Resultado Líquido de Operações Descontinuadas</t>
  </si>
  <si>
    <t>Net Profit from Continuing Operations</t>
  </si>
  <si>
    <t>Resultado Líquido das Operações Continuadas</t>
  </si>
  <si>
    <t>Income Tax and Social Contribution</t>
  </si>
  <si>
    <t>Imposto de Renda e Contribuição Social sobre o Lucro</t>
  </si>
  <si>
    <t>Profit Before Income Taxes</t>
  </si>
  <si>
    <t>Resultado Antes dos Tributos sobre o Lucro</t>
  </si>
  <si>
    <t>Other Financial Expenses</t>
  </si>
  <si>
    <t>Outras Despesas Financeiras</t>
  </si>
  <si>
    <t>Net Foreign Exchange Variation on Financial Instruments</t>
  </si>
  <si>
    <t>Variação Cambial Líquida de Instrumentos Financeiros</t>
  </si>
  <si>
    <t>Financial Expenses</t>
  </si>
  <si>
    <t>Despesas Financeiras</t>
  </si>
  <si>
    <t>Financial Income</t>
  </si>
  <si>
    <t>Receitas Financeiras</t>
  </si>
  <si>
    <t>Operating Profit Before Financial Result</t>
  </si>
  <si>
    <t>Lucro Operacional Antes do Resultado Financeiro</t>
  </si>
  <si>
    <t>Equity Result with Affiliated Companies</t>
  </si>
  <si>
    <t>Resultado de Equivalência Patrimonial</t>
  </si>
  <si>
    <t>Other operating expenses</t>
  </si>
  <si>
    <t>Outras Despesas Operacionais</t>
  </si>
  <si>
    <t>Other operating income</t>
  </si>
  <si>
    <t>Outras Receitas Operacionais</t>
  </si>
  <si>
    <t>General and administrative expenses</t>
  </si>
  <si>
    <t>Despesas Gerais e Administrativas</t>
  </si>
  <si>
    <t>Selling expenses</t>
  </si>
  <si>
    <t>Despesas com Vendas</t>
  </si>
  <si>
    <t>Operating expenses/income</t>
  </si>
  <si>
    <t>Despesas/Receitas Operacionais</t>
  </si>
  <si>
    <t xml:space="preserve"> Depreciation/Exhaustion allocated to cost </t>
  </si>
  <si>
    <t>Depreciação/ Exaustão alocada ao custo</t>
  </si>
  <si>
    <t xml:space="preserve"> COGS, without Depreciation and Exhaustion </t>
  </si>
  <si>
    <t>CPV, sem Depreciação e Exaustão</t>
  </si>
  <si>
    <t xml:space="preserve">    Cost of Goods Sold (COGS)</t>
  </si>
  <si>
    <t>Custo dos Produtos Vendidos</t>
  </si>
  <si>
    <t xml:space="preserve"> Foreign Market </t>
  </si>
  <si>
    <t xml:space="preserve">Domestic Market </t>
  </si>
  <si>
    <t xml:space="preserve">Receita Líquida de Vendas </t>
  </si>
  <si>
    <t>Cash and cash equivalents at the end of the period</t>
  </si>
  <si>
    <t>Caixa e equivalentes de caixa no fim do período</t>
  </si>
  <si>
    <t>Cash and cash equivalents at the beginning of the period</t>
  </si>
  <si>
    <t>Caixa e equivalentes de caixa no início do período</t>
  </si>
  <si>
    <t xml:space="preserve">Increase (Decrease) in Cash and Cash Equivalents </t>
  </si>
  <si>
    <t>Aumento (Redução) do Caixa e Equivalentes de Caixa</t>
  </si>
  <si>
    <t>Variação Cambial sobre caixa e equivalentes de Caixa</t>
  </si>
  <si>
    <t>Pré pagamento de minério de ferro</t>
  </si>
  <si>
    <t>Cash Flow from Financing Activities</t>
  </si>
  <si>
    <t>Fluxo de Caixa das Atividades de Financiamento</t>
  </si>
  <si>
    <t>Cash Flow from Investing Activities</t>
  </si>
  <si>
    <t>Fluxo de Caixa das Atividades de Investimentos</t>
  </si>
  <si>
    <t>Outros pagamentos e recebimentos</t>
  </si>
  <si>
    <t xml:space="preserve"> Inventories </t>
  </si>
  <si>
    <t>Variação dos ativos e passivos</t>
  </si>
  <si>
    <t>Resultado de equivalência patrimonial</t>
  </si>
  <si>
    <t xml:space="preserve">Net Cash Flow from Operating Activities </t>
  </si>
  <si>
    <t>Fluxo de Caixa líquido das Atividades Operacionais</t>
  </si>
  <si>
    <t>Venda de Minério de Ferro</t>
  </si>
  <si>
    <t>Iron Ore Sales (thousand tons)</t>
  </si>
  <si>
    <t>Resultados Consolidados IFRS (R$ milhões)</t>
  </si>
  <si>
    <t>Receita Líquida¹</t>
  </si>
  <si>
    <t>Custo de Produto Vendido (CPV)</t>
  </si>
  <si>
    <t>Margem Bruta %</t>
  </si>
  <si>
    <t xml:space="preserve">Despesas com vendas e administrativas </t>
  </si>
  <si>
    <t>Resultado de Participações</t>
  </si>
  <si>
    <t>Margem EBITDA %</t>
  </si>
  <si>
    <t>IFRS Consolidated Results (R$ million)</t>
  </si>
  <si>
    <t>Sales and administrative expenses</t>
  </si>
  <si>
    <t>Result from equity investments</t>
  </si>
  <si>
    <t>EBiTDA Margin (%)</t>
  </si>
  <si>
    <t>Valores em R$ (´000)</t>
  </si>
  <si>
    <t>Contas a Receber</t>
  </si>
  <si>
    <t>Impostos a recuperar</t>
  </si>
  <si>
    <t>Outros Ativos Circulantes</t>
  </si>
  <si>
    <t>Adiantamentos a fornecedores</t>
  </si>
  <si>
    <t>Estoques LP</t>
  </si>
  <si>
    <t>Outros ativos</t>
  </si>
  <si>
    <t>Imobilizado em Andamento</t>
  </si>
  <si>
    <t>Passivo e Patrimônio Líquido</t>
  </si>
  <si>
    <t>Fornecedores Risco Sacado</t>
  </si>
  <si>
    <t xml:space="preserve">Passivos de arredamentos </t>
  </si>
  <si>
    <t>Provisões Fiscais Previdenciárias Trabalhistas e Cíveis</t>
  </si>
  <si>
    <t>Passivos ambientais e desativação</t>
  </si>
  <si>
    <t>Tributos a Recolher</t>
  </si>
  <si>
    <t>Outras Contas a Pagar</t>
  </si>
  <si>
    <t>Ações em Tesouraria</t>
  </si>
  <si>
    <t>Ajustes de Avaliação Patrimonial</t>
  </si>
  <si>
    <t>Participação de não controladores</t>
  </si>
  <si>
    <t>Share Capital</t>
  </si>
  <si>
    <t>Capital Reserves</t>
  </si>
  <si>
    <t>Retained Earnings</t>
  </si>
  <si>
    <t>Treasury Shares</t>
  </si>
  <si>
    <t>Accumulated Losses</t>
  </si>
  <si>
    <t>Equity Valuation Adjustments</t>
  </si>
  <si>
    <t>Other Comprehensive Income (OCI)</t>
  </si>
  <si>
    <t>Non-controlling Interests</t>
  </si>
  <si>
    <t>Cash and Cash Equivalents</t>
  </si>
  <si>
    <t>Financial Applications</t>
  </si>
  <si>
    <t>Other Current Assets</t>
  </si>
  <si>
    <t>Prepaid Expenses</t>
  </si>
  <si>
    <t>Advances to Suppliers</t>
  </si>
  <si>
    <t>Other Assets</t>
  </si>
  <si>
    <t>Right-of-Use Assets (Leases)</t>
  </si>
  <si>
    <t>Intangible Assets</t>
  </si>
  <si>
    <t>Long-term Inventories</t>
  </si>
  <si>
    <t>Other Non-current Assets</t>
  </si>
  <si>
    <t>Property, Plant and Equipment (PP&amp;E)</t>
  </si>
  <si>
    <t>Property, Plant and Equipment in Operation</t>
  </si>
  <si>
    <t>Assets Under Construction</t>
  </si>
  <si>
    <t>Payroll and Social Obligations</t>
  </si>
  <si>
    <t>Supplier Financing</t>
  </si>
  <si>
    <t>Tax Liabilities</t>
  </si>
  <si>
    <t>Advances from Customers</t>
  </si>
  <si>
    <t>Dividends and Interest on Equity Payable</t>
  </si>
  <si>
    <t>Other Liabilities</t>
  </si>
  <si>
    <t>Lease Liabilities</t>
  </si>
  <si>
    <t>Derivative Financial Instruments</t>
  </si>
  <si>
    <t>Trade Payables</t>
  </si>
  <si>
    <t>Environmental and Decommissioning Liabilities</t>
  </si>
  <si>
    <t>Taxes Payable</t>
  </si>
  <si>
    <t>Other Accounts Payable</t>
  </si>
  <si>
    <r>
      <t>Deferred Tax Liabilities</t>
    </r>
    <r>
      <rPr>
        <sz val="11"/>
        <color theme="1"/>
        <rFont val="Aptos Narrow"/>
        <family val="2"/>
        <scheme val="minor"/>
      </rPr>
      <t>,</t>
    </r>
  </si>
  <si>
    <t>Total Liabilities and Stockholders’ Equity</t>
  </si>
  <si>
    <t>Total de Vendas</t>
  </si>
  <si>
    <t>Total Sales</t>
  </si>
  <si>
    <t>Frete e seguros marítimo</t>
  </si>
  <si>
    <t>Receita Líquida de Vendas - BASE FOB</t>
  </si>
  <si>
    <t>CPV, sem Depreciação</t>
  </si>
  <si>
    <t>Depreciação</t>
  </si>
  <si>
    <t>Lucro Bruto Ajustado - BASE FOB</t>
  </si>
  <si>
    <t>Margem Bruta Ajustada - BASE FOBB (%)</t>
  </si>
  <si>
    <t>Despesas de Vendas, Gerais e Administrativas  Ajustada - BASE FOB</t>
  </si>
  <si>
    <t>Outras Receitas (Despesas) Operacionais Líquidas</t>
  </si>
  <si>
    <t>Resultado Financeiro Líquido</t>
  </si>
  <si>
    <t>Resultado antes do IR e CSLL</t>
  </si>
  <si>
    <t>IR e CSLL</t>
  </si>
  <si>
    <t>Net Sales Revenue</t>
  </si>
  <si>
    <t>Freight and Insurance</t>
  </si>
  <si>
    <t>Adjusted Net Revenue – FOB basis</t>
  </si>
  <si>
    <t xml:space="preserve"> Cost of Goods Sold (COGS) </t>
  </si>
  <si>
    <t xml:space="preserve"> COGS, without Depreciation</t>
  </si>
  <si>
    <t xml:space="preserve"> Depreciation</t>
  </si>
  <si>
    <t>Adjusted Gross Profit - FOB basis</t>
  </si>
  <si>
    <t>Adjusted Gross Margin - FOB Basis (%)</t>
  </si>
  <si>
    <t>Selling, General and Administrative Expenses</t>
  </si>
  <si>
    <t>Freight &amp; Insurance</t>
  </si>
  <si>
    <t>Other net operating income (expense)</t>
  </si>
  <si>
    <t>Equity Result</t>
  </si>
  <si>
    <t xml:space="preserve">Net Financial Result </t>
  </si>
  <si>
    <t>Selling, General and Administrative Expenses (SG&amp;A) Adjusted – FOB basis</t>
  </si>
  <si>
    <t xml:space="preserve">Profit before income tax and social security contributions   </t>
  </si>
  <si>
    <t xml:space="preserve"> Income Tax and Social Contribution </t>
  </si>
  <si>
    <t xml:space="preserve">Net Profit (Loss) for the Period </t>
  </si>
  <si>
    <t>DEMONSTRAÇÃO DE RESULTADO CONSOLIDADO</t>
  </si>
  <si>
    <t>DRE AJUSTADA - BASE FOB</t>
  </si>
  <si>
    <t>ADJUSTED INCOME STATEMENT  - FOB BASIS</t>
  </si>
  <si>
    <t>INCOME STATEMENT CONSOLIDATED</t>
  </si>
  <si>
    <t xml:space="preserve">Despesas de Vendas, Gerais e Administrativas  </t>
  </si>
  <si>
    <t>Lucro líquido do período</t>
  </si>
  <si>
    <t>Resultado de não controladoes</t>
  </si>
  <si>
    <t>Variações cambiais e monetárias</t>
  </si>
  <si>
    <t>Despesa de juros sobre empréstimos e financiamentos</t>
  </si>
  <si>
    <t>Juros capitalizados</t>
  </si>
  <si>
    <t xml:space="preserve">Juros de arrendamentos </t>
  </si>
  <si>
    <t>Perdas com instrumento derivativo</t>
  </si>
  <si>
    <t>Amortização custo de transação</t>
  </si>
  <si>
    <t>Depreciações e amortizações</t>
  </si>
  <si>
    <t>Imposto de renda e contribuição social correntes e diferidos</t>
  </si>
  <si>
    <t>Resultado na baixa ou alienação de bens</t>
  </si>
  <si>
    <t>Contas a receber de clientes</t>
  </si>
  <si>
    <t>Tributos a recuperar</t>
  </si>
  <si>
    <t xml:space="preserve">Adiantamento Fornecedor - CSN </t>
  </si>
  <si>
    <t>Salários, provisões e contribuições sociais</t>
  </si>
  <si>
    <t>Tributos a recolher</t>
  </si>
  <si>
    <t xml:space="preserve">Adiantamento Cliente - Minério de Ferro </t>
  </si>
  <si>
    <t>Adiantamento - Contratos de Energia</t>
  </si>
  <si>
    <t>Outras contas a pagar</t>
  </si>
  <si>
    <t xml:space="preserve">Fornecedores risco sacado </t>
  </si>
  <si>
    <t xml:space="preserve">Adiantamento partes relacionadas </t>
  </si>
  <si>
    <t>Hedge accounting de fluxo de caixa</t>
  </si>
  <si>
    <t>Recebimento de operações derivativas</t>
  </si>
  <si>
    <t>Dividendos recebidos MRS</t>
  </si>
  <si>
    <t xml:space="preserve">Imposto de renda e contribuição social pagos </t>
  </si>
  <si>
    <t>Juros pagos sobre empréstimos e financiamentos</t>
  </si>
  <si>
    <t>Aquisição de participação em controladas, coligadas ou joint ventures</t>
  </si>
  <si>
    <t>Aquisição de ativos imobilizados</t>
  </si>
  <si>
    <t xml:space="preserve">Aplicações financeiras </t>
  </si>
  <si>
    <t>Caixa recebido na aquisição da Chapeco</t>
  </si>
  <si>
    <t>Aquisição da Cia Energética Chapeco</t>
  </si>
  <si>
    <t>Pagamento do principal sobre empréstimos</t>
  </si>
  <si>
    <t>Amortização de pré-pagamento de minério de ferro</t>
  </si>
  <si>
    <t>Captações</t>
  </si>
  <si>
    <t>Emissão primaria de ações</t>
  </si>
  <si>
    <t>Custo de transação</t>
  </si>
  <si>
    <t>Dividendos pagos</t>
  </si>
  <si>
    <t>Juros de Capital Proprio</t>
  </si>
  <si>
    <t>Passivos de arrendamentos</t>
  </si>
  <si>
    <t xml:space="preserve">Recompra da ações </t>
  </si>
  <si>
    <t>Net Income (Loss) for the Period</t>
  </si>
  <si>
    <t>Net Income  (Loss) Attributable to Non-Controlling Interests</t>
  </si>
  <si>
    <t>Equity in Earnings of Subsidiaries / Equity Method Result</t>
  </si>
  <si>
    <t>Foreign Exchange and Monetary Variations</t>
  </si>
  <si>
    <t>Interest Expense on Loans and Financing</t>
  </si>
  <si>
    <t>Capitalized Interest</t>
  </si>
  <si>
    <t>Lease Interest Expense</t>
  </si>
  <si>
    <t>Losses on Derivative Instruments</t>
  </si>
  <si>
    <t>Amortization of Transaction Costs</t>
  </si>
  <si>
    <t>Depreciation and Amortization</t>
  </si>
  <si>
    <t>Current and Deferred Income and Social Contribution Taxes</t>
  </si>
  <si>
    <t>Gain/(Loss) on Write-off or Disposal of Assets</t>
  </si>
  <si>
    <t>Others</t>
  </si>
  <si>
    <t xml:space="preserve">
Change in Assets and Liabilities</t>
  </si>
  <si>
    <t>Accounts Receivable from Customers</t>
  </si>
  <si>
    <t>Supplier Advances – CSN</t>
  </si>
  <si>
    <t>Salaries, Provisions and Social Contributions</t>
  </si>
  <si>
    <t>Customer Advances – Iron Ore</t>
  </si>
  <si>
    <t xml:space="preserve">	Advances – Energy Contracts</t>
  </si>
  <si>
    <t>Confirmed Payables with Risk Assignment</t>
  </si>
  <si>
    <t>Receipt from Derivative Transactions</t>
  </si>
  <si>
    <t>Cash Flow Hedge Accounting</t>
  </si>
  <si>
    <t>Other payments and receipts</t>
  </si>
  <si>
    <t>Receipt of derivative transactions</t>
  </si>
  <si>
    <t>Dividends Received from MRS</t>
  </si>
  <si>
    <t>Income Tax and Social Contribution Paid</t>
  </si>
  <si>
    <t>Interest Paid on Loans and Financing</t>
  </si>
  <si>
    <t>Acquisition of interest in subsidiaries, affiliates or joint ventures</t>
  </si>
  <si>
    <t xml:space="preserve">Acquisition of fixed assets </t>
  </si>
  <si>
    <t xml:space="preserve">Financial investments </t>
  </si>
  <si>
    <t>Principal repayment on borrowings</t>
  </si>
  <si>
    <t>Iron ore prepayment</t>
  </si>
  <si>
    <t>Amortization of iron ore prepayment</t>
  </si>
  <si>
    <t>Proceeds from borrowings</t>
  </si>
  <si>
    <t>Transaction costs</t>
  </si>
  <si>
    <t>Dividends paid</t>
  </si>
  <si>
    <t>Interest on Equity</t>
  </si>
  <si>
    <t>Lease liabilities</t>
  </si>
  <si>
    <t>Share buyback</t>
  </si>
  <si>
    <t>Exchange rate variation on cash and cash equivalents</t>
  </si>
  <si>
    <t>Cash received in the acquisition of Chapecó</t>
  </si>
  <si>
    <t>Acquisition of Cia Energética Chapecó</t>
  </si>
  <si>
    <t>Primary issuance of shares</t>
  </si>
  <si>
    <t>Guidances</t>
  </si>
  <si>
    <t>2026E</t>
  </si>
  <si>
    <t>2027E</t>
  </si>
  <si>
    <t>2028E</t>
  </si>
  <si>
    <t>2029E</t>
  </si>
  <si>
    <t>2030E</t>
  </si>
  <si>
    <t>2023-2027E</t>
  </si>
  <si>
    <t>2023-2028E</t>
  </si>
  <si>
    <t>2024-2027E</t>
  </si>
  <si>
    <t>2025 -2030E</t>
  </si>
  <si>
    <t>Longo Prazo</t>
  </si>
  <si>
    <t>Estimada</t>
  </si>
  <si>
    <t>n.a.</t>
  </si>
  <si>
    <t>Atingida</t>
  </si>
  <si>
    <t>EBITDA Ajustado (R$ Milhões)</t>
  </si>
  <si>
    <t>Cash Cost (C1 US/ton)</t>
  </si>
  <si>
    <t>43,5 - 47,5</t>
  </si>
  <si>
    <t>50 - 55</t>
  </si>
  <si>
    <t>55 - 60</t>
  </si>
  <si>
    <t>60 - 65</t>
  </si>
  <si>
    <t>Projeções</t>
  </si>
  <si>
    <t>Capex (R$ Milhões)</t>
  </si>
  <si>
    <t>Volume de Produção de Minério de Ferro (Compras+Produção em mil ton)</t>
  </si>
  <si>
    <t>Adjusted EBITDA (R$ Million)</t>
  </si>
  <si>
    <t>Estimated</t>
  </si>
  <si>
    <t>Achieved</t>
  </si>
  <si>
    <t>Capex (R$ Million)</t>
  </si>
  <si>
    <t>Iron Ore Production Volume (Production + Purchases in thousand tons)</t>
  </si>
  <si>
    <t xml:space="preserve">Potential Incremental EBITDA Generation from P15 </t>
  </si>
  <si>
    <t>Potencial de Geração de EBITDA incremental com P15 (R$ milhões)</t>
  </si>
  <si>
    <t>03/31/2021</t>
  </si>
  <si>
    <t>06/30/2021</t>
  </si>
  <si>
    <t>09/30/2021</t>
  </si>
  <si>
    <t>12/31/2021</t>
  </si>
  <si>
    <t>03/31/2022</t>
  </si>
  <si>
    <t>03/31/2023</t>
  </si>
  <si>
    <t>03/31/2024</t>
  </si>
  <si>
    <t>03/31/2025</t>
  </si>
  <si>
    <t>06/30/2022</t>
  </si>
  <si>
    <t>12/31/2022</t>
  </si>
  <si>
    <t>09/30/2022</t>
  </si>
  <si>
    <t>06/30/2023</t>
  </si>
  <si>
    <t>12/31/2023</t>
  </si>
  <si>
    <t>09/30/2023</t>
  </si>
  <si>
    <t>06/30/2024</t>
  </si>
  <si>
    <t>12/31/2024</t>
  </si>
  <si>
    <t>06/30/2025</t>
  </si>
  <si>
    <t>09/30/2024</t>
  </si>
  <si>
    <t>12/31/2025</t>
  </si>
  <si>
    <t>4Q25</t>
  </si>
  <si>
    <t>Depreciação e Amortização em Despesas</t>
  </si>
  <si>
    <t>Long Term</t>
  </si>
  <si>
    <t>09/30/2025</t>
  </si>
  <si>
    <t>1T26</t>
  </si>
  <si>
    <t>2T26</t>
  </si>
  <si>
    <t>3T26</t>
  </si>
  <si>
    <t>4T26</t>
  </si>
  <si>
    <t>1Q26</t>
  </si>
  <si>
    <t>03/31/2026</t>
  </si>
  <si>
    <t>06/30/2026</t>
  </si>
  <si>
    <t>09/30/2026</t>
  </si>
  <si>
    <t>12/31/2026</t>
  </si>
  <si>
    <t>2Q26</t>
  </si>
  <si>
    <t>4Q26</t>
  </si>
  <si>
    <t>$25 - 26,0</t>
  </si>
  <si>
    <t>39,0 - 41,0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</si>
</sst>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;\(#,##0\)"/>
    <numFmt numFmtId="165" formatCode="#,##0.000"/>
    <numFmt numFmtId="166" formatCode="0.000"/>
    <numFmt numFmtId="167" formatCode="_-* #,##0\ [$€]_-;\-* #,##0\ [$€]_-;_-* &quot;-&quot;??\ [$€]_-;_-@_-"/>
    <numFmt numFmtId="168" formatCode="_(* #,##0.00_);_(* \(#,##0.00\);_(* &quot;-&quot;??_);_(@_)"/>
    <numFmt numFmtId="169" formatCode="_-[$$-409]* #,##0.00_ ;_-[$$-409]* \-#,##0.00\ ;_-[$$-409]* &quot;-&quot;??_ ;_-@_ "/>
    <numFmt numFmtId="170" formatCode="0.0%"/>
    <numFmt numFmtId="171" formatCode="#,##0.0;\(#,##0.0\)"/>
    <numFmt numFmtId="172" formatCode="0.0"/>
    <numFmt numFmtId="173" formatCode="_-&quot;R$&quot;\ * #,##0_-;\-&quot;R$&quot;\ * #,##0_-;_-&quot;R$&quot;\ * &quot;-&quot;??_-;_-@_-"/>
    <numFmt numFmtId="174" formatCode="#,##0;\(#,##0\);&quot;-&quot;"/>
    <numFmt numFmtId="175" formatCode="#,##0.0;\(#,##0.0\);&quot;-&quot;"/>
    <numFmt numFmtId="176" formatCode="#,##0.00;\(#,##0.00\);&quot;-&quot;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29A1"/>
      <name val="Century Gothic"/>
      <family val="2"/>
    </font>
    <font>
      <sz val="14"/>
      <color rgb="FF0029A1"/>
      <name val="Aptos Narrow"/>
      <family val="2"/>
      <scheme val="minor"/>
    </font>
    <font>
      <sz val="11"/>
      <color rgb="FF0029A1"/>
      <name val="Aptos Narrow"/>
      <family val="2"/>
      <scheme val="minor"/>
    </font>
    <font>
      <sz val="16"/>
      <color rgb="FF0029A1"/>
      <name val="Aptos Narrow"/>
      <family val="2"/>
      <scheme val="minor"/>
    </font>
    <font>
      <u/>
      <sz val="14"/>
      <color rgb="FF0029A1"/>
      <name val="Aptos Narrow"/>
      <family val="2"/>
      <scheme val="minor"/>
    </font>
    <font>
      <sz val="12"/>
      <color rgb="FF0029A1"/>
      <name val="Aptos Display"/>
      <family val="2"/>
      <scheme val="major"/>
    </font>
    <font>
      <i/>
      <sz val="11"/>
      <color rgb="FF0029A1"/>
      <name val="Aptos Narrow"/>
      <family val="2"/>
      <scheme val="minor"/>
    </font>
    <font>
      <sz val="12"/>
      <color theme="1"/>
      <name val="Century Gothic"/>
      <family val="2"/>
    </font>
    <font>
      <sz val="10"/>
      <name val="Arial"/>
      <family val="2"/>
    </font>
    <font>
      <b/>
      <sz val="14"/>
      <color theme="0"/>
      <name val="Century Gothic"/>
      <family val="2"/>
    </font>
    <font>
      <sz val="11"/>
      <color theme="9" tint="-0.499984740745262"/>
      <name val="Aptos Narrow"/>
      <family val="2"/>
      <scheme val="minor"/>
    </font>
    <font>
      <b/>
      <sz val="14"/>
      <color rgb="FF000000"/>
      <name val="Century Gothic"/>
      <family val="2"/>
    </font>
    <font>
      <i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0"/>
      <color theme="1"/>
      <name val="Century Gothic"/>
      <family val="2"/>
    </font>
    <font>
      <b/>
      <sz val="12"/>
      <color theme="0"/>
      <name val="Aptos Display"/>
      <family val="2"/>
      <scheme val="major"/>
    </font>
    <font>
      <sz val="11"/>
      <color theme="0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rgb="FF000000"/>
      <name val="Century Gothic"/>
      <family val="2"/>
    </font>
    <font>
      <i/>
      <sz val="11"/>
      <color theme="1"/>
      <name val="Century Gothic"/>
      <family val="2"/>
    </font>
    <font>
      <sz val="12"/>
      <color rgb="FFFF0000"/>
      <name val="Century Gothic"/>
      <family val="2"/>
    </font>
    <font>
      <b/>
      <sz val="10"/>
      <color theme="1"/>
      <name val="Aptos Narrow"/>
      <family val="2"/>
      <scheme val="minor"/>
    </font>
    <font>
      <b/>
      <sz val="42"/>
      <color theme="6" tint="-0.499984740745262"/>
      <name val="Calibri Light"/>
      <family val="2"/>
    </font>
    <font>
      <b/>
      <sz val="12"/>
      <color theme="6" tint="-0.499984740745262"/>
      <name val="Calibri Light"/>
      <family val="2"/>
    </font>
    <font>
      <b/>
      <sz val="11"/>
      <color theme="0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theme="0"/>
      <name val="Century Gothic"/>
      <family val="2"/>
    </font>
    <font>
      <sz val="8"/>
      <name val="Aptos Narrow"/>
      <family val="2"/>
      <scheme val="minor"/>
    </font>
    <font>
      <b/>
      <i/>
      <sz val="12"/>
      <color theme="1"/>
      <name val="Century Gothic"/>
      <family val="2"/>
    </font>
    <font>
      <sz val="12"/>
      <name val="Century Gothic"/>
      <family val="2"/>
    </font>
    <font>
      <sz val="11"/>
      <name val="Aptos Narrow"/>
      <family val="2"/>
      <scheme val="minor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b/>
      <sz val="11"/>
      <color theme="1"/>
      <name val="Century Gothic"/>
      <family val="2"/>
    </font>
    <font>
      <i/>
      <sz val="11"/>
      <color theme="1"/>
      <name val="Aptos Narrow"/>
      <family val="2"/>
      <scheme val="minor"/>
    </font>
    <font>
      <sz val="12"/>
      <color theme="0"/>
      <name val="Century Gothic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7562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6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43" fontId="1" fillId="0" borderId="0" applyFont="0" applyFill="0" applyBorder="0" applyAlignment="0" applyProtection="0"/>
    <xf numFmtId="167" fontId="13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33" fillId="0" borderId="0" applyFont="0" applyFill="0" applyBorder="0" applyAlignment="0" applyProtection="0"/>
  </cellStyleXfs>
  <cellXfs count="152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0" xfId="0" applyFont="1" applyFill="1"/>
    <xf numFmtId="0" fontId="8" fillId="0" borderId="0" xfId="0" applyFont="1"/>
    <xf numFmtId="0" fontId="7" fillId="2" borderId="0" xfId="0" applyFont="1" applyFill="1"/>
    <xf numFmtId="0" fontId="7" fillId="0" borderId="0" xfId="0" quotePrefix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3" borderId="0" xfId="0" applyFont="1" applyFill="1"/>
    <xf numFmtId="164" fontId="12" fillId="3" borderId="0" xfId="0" applyNumberFormat="1" applyFont="1" applyFill="1" applyAlignment="1">
      <alignment horizontal="left" indent="1"/>
    </xf>
    <xf numFmtId="0" fontId="14" fillId="4" borderId="0" xfId="2" applyFont="1" applyFill="1" applyAlignment="1">
      <alignment horizontal="center" vertical="center"/>
    </xf>
    <xf numFmtId="0" fontId="15" fillId="0" borderId="0" xfId="0" applyFont="1"/>
    <xf numFmtId="0" fontId="16" fillId="5" borderId="0" xfId="3" applyFont="1" applyFill="1" applyAlignment="1">
      <alignment vertical="center" wrapText="1"/>
    </xf>
    <xf numFmtId="164" fontId="12" fillId="3" borderId="0" xfId="0" applyNumberFormat="1" applyFont="1" applyFill="1" applyAlignment="1">
      <alignment horizontal="left" indent="2"/>
    </xf>
    <xf numFmtId="0" fontId="17" fillId="3" borderId="0" xfId="0" applyFont="1" applyFill="1"/>
    <xf numFmtId="0" fontId="0" fillId="0" borderId="0" xfId="0" applyAlignment="1">
      <alignment vertical="center"/>
    </xf>
    <xf numFmtId="0" fontId="18" fillId="6" borderId="0" xfId="2" applyFont="1" applyFill="1" applyAlignment="1">
      <alignment horizontal="center" vertical="center"/>
    </xf>
    <xf numFmtId="0" fontId="18" fillId="7" borderId="0" xfId="2" applyFont="1" applyFill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6" borderId="1" xfId="2" applyFont="1" applyFill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4" fillId="0" borderId="0" xfId="0" applyFont="1"/>
    <xf numFmtId="0" fontId="21" fillId="0" borderId="0" xfId="0" applyFont="1"/>
    <xf numFmtId="0" fontId="12" fillId="8" borderId="0" xfId="0" applyFont="1" applyFill="1"/>
    <xf numFmtId="0" fontId="22" fillId="0" borderId="0" xfId="0" applyFont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4" fontId="23" fillId="0" borderId="0" xfId="0" applyNumberFormat="1" applyFont="1" applyAlignment="1">
      <alignment horizontal="center"/>
    </xf>
    <xf numFmtId="0" fontId="23" fillId="0" borderId="0" xfId="0" applyFont="1"/>
    <xf numFmtId="164" fontId="23" fillId="3" borderId="0" xfId="0" applyNumberFormat="1" applyFont="1" applyFill="1" applyAlignment="1">
      <alignment horizontal="center"/>
    </xf>
    <xf numFmtId="0" fontId="12" fillId="0" borderId="0" xfId="0" applyFont="1"/>
    <xf numFmtId="0" fontId="17" fillId="0" borderId="0" xfId="0" applyFont="1" applyAlignment="1">
      <alignment horizontal="left" indent="2"/>
    </xf>
    <xf numFmtId="0" fontId="18" fillId="9" borderId="1" xfId="2" applyFont="1" applyFill="1" applyBorder="1" applyAlignment="1">
      <alignment horizontal="center" vertical="center"/>
    </xf>
    <xf numFmtId="0" fontId="18" fillId="3" borderId="0" xfId="2" applyFont="1" applyFill="1" applyAlignment="1">
      <alignment horizontal="center" vertical="center"/>
    </xf>
    <xf numFmtId="0" fontId="4" fillId="3" borderId="0" xfId="0" applyFont="1" applyFill="1"/>
    <xf numFmtId="0" fontId="0" fillId="3" borderId="0" xfId="0" applyFill="1"/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18" fillId="6" borderId="1" xfId="2" applyFont="1" applyFill="1" applyBorder="1" applyAlignment="1">
      <alignment horizontal="center" vertical="center"/>
    </xf>
    <xf numFmtId="0" fontId="26" fillId="5" borderId="0" xfId="3" applyFont="1" applyFill="1" applyAlignment="1">
      <alignment vertical="center" wrapText="1"/>
    </xf>
    <xf numFmtId="0" fontId="14" fillId="0" borderId="0" xfId="2" applyFont="1" applyAlignment="1">
      <alignment horizontal="center" vertical="center"/>
    </xf>
    <xf numFmtId="0" fontId="14" fillId="13" borderId="0" xfId="2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169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14" fontId="18" fillId="7" borderId="0" xfId="2" applyNumberFormat="1" applyFont="1" applyFill="1" applyAlignment="1">
      <alignment horizontal="center" vertical="center"/>
    </xf>
    <xf numFmtId="14" fontId="18" fillId="6" borderId="0" xfId="2" applyNumberFormat="1" applyFont="1" applyFill="1" applyAlignment="1">
      <alignment horizontal="center" vertical="center"/>
    </xf>
    <xf numFmtId="164" fontId="12" fillId="3" borderId="0" xfId="0" applyNumberFormat="1" applyFont="1" applyFill="1" applyAlignment="1">
      <alignment horizontal="center"/>
    </xf>
    <xf numFmtId="170" fontId="17" fillId="0" borderId="0" xfId="7" applyNumberFormat="1" applyFont="1" applyAlignment="1">
      <alignment horizontal="center"/>
    </xf>
    <xf numFmtId="170" fontId="17" fillId="3" borderId="0" xfId="7" applyNumberFormat="1" applyFont="1" applyFill="1" applyAlignment="1">
      <alignment horizontal="center"/>
    </xf>
    <xf numFmtId="170" fontId="36" fillId="0" borderId="0" xfId="7" applyNumberFormat="1" applyFont="1" applyAlignment="1">
      <alignment horizontal="center"/>
    </xf>
    <xf numFmtId="170" fontId="36" fillId="3" borderId="0" xfId="7" applyNumberFormat="1" applyFont="1" applyFill="1" applyAlignment="1">
      <alignment horizontal="center"/>
    </xf>
    <xf numFmtId="164" fontId="23" fillId="3" borderId="0" xfId="0" applyNumberFormat="1" applyFont="1" applyFill="1" applyAlignment="1">
      <alignment horizontal="left" indent="2"/>
    </xf>
    <xf numFmtId="164" fontId="12" fillId="3" borderId="0" xfId="0" applyNumberFormat="1" applyFont="1" applyFill="1" applyAlignment="1">
      <alignment horizontal="center" vertical="center"/>
    </xf>
    <xf numFmtId="164" fontId="17" fillId="3" borderId="0" xfId="0" applyNumberFormat="1" applyFont="1" applyFill="1" applyAlignment="1">
      <alignment horizontal="center" vertical="center"/>
    </xf>
    <xf numFmtId="164" fontId="23" fillId="11" borderId="0" xfId="0" applyNumberFormat="1" applyFont="1" applyFill="1" applyAlignment="1">
      <alignment horizontal="center" vertical="center"/>
    </xf>
    <xf numFmtId="171" fontId="12" fillId="3" borderId="0" xfId="0" applyNumberFormat="1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23" fillId="3" borderId="0" xfId="0" applyFont="1" applyFill="1" applyAlignment="1">
      <alignment horizontal="center"/>
    </xf>
    <xf numFmtId="171" fontId="12" fillId="3" borderId="0" xfId="0" applyNumberFormat="1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172" fontId="23" fillId="3" borderId="0" xfId="0" applyNumberFormat="1" applyFont="1" applyFill="1" applyAlignment="1">
      <alignment horizontal="center"/>
    </xf>
    <xf numFmtId="172" fontId="12" fillId="3" borderId="0" xfId="0" applyNumberFormat="1" applyFont="1" applyFill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172" fontId="23" fillId="3" borderId="0" xfId="0" applyNumberFormat="1" applyFont="1" applyFill="1" applyAlignment="1">
      <alignment horizontal="center" vertical="center"/>
    </xf>
    <xf numFmtId="164" fontId="40" fillId="0" borderId="0" xfId="0" applyNumberFormat="1" applyFont="1" applyAlignment="1">
      <alignment horizontal="center"/>
    </xf>
    <xf numFmtId="0" fontId="21" fillId="3" borderId="0" xfId="0" applyFont="1" applyFill="1" applyAlignment="1">
      <alignment horizontal="center" vertical="center"/>
    </xf>
    <xf numFmtId="173" fontId="12" fillId="0" borderId="0" xfId="6" applyNumberFormat="1" applyFont="1" applyAlignment="1">
      <alignment horizontal="center"/>
    </xf>
    <xf numFmtId="0" fontId="26" fillId="5" borderId="0" xfId="3" applyFont="1" applyFill="1" applyAlignment="1">
      <alignment horizontal="center" vertical="center" wrapText="1"/>
    </xf>
    <xf numFmtId="174" fontId="12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0" fillId="0" borderId="0" xfId="0" applyNumberFormat="1" applyAlignment="1">
      <alignment horizontal="center"/>
    </xf>
    <xf numFmtId="174" fontId="22" fillId="0" borderId="0" xfId="0" applyNumberFormat="1" applyFont="1"/>
    <xf numFmtId="174" fontId="0" fillId="0" borderId="0" xfId="0" applyNumberFormat="1" applyAlignment="1">
      <alignment vertical="center"/>
    </xf>
    <xf numFmtId="174" fontId="18" fillId="0" borderId="0" xfId="2" applyNumberFormat="1" applyFont="1" applyAlignment="1">
      <alignment horizontal="left" vertical="center"/>
    </xf>
    <xf numFmtId="174" fontId="34" fillId="0" borderId="0" xfId="0" applyNumberFormat="1" applyFont="1"/>
    <xf numFmtId="174" fontId="18" fillId="0" borderId="0" xfId="2" applyNumberFormat="1" applyFont="1" applyAlignment="1">
      <alignment horizontal="center" vertical="center"/>
    </xf>
    <xf numFmtId="174" fontId="32" fillId="3" borderId="0" xfId="0" applyNumberFormat="1" applyFont="1" applyFill="1"/>
    <xf numFmtId="174" fontId="32" fillId="0" borderId="0" xfId="0" applyNumberFormat="1" applyFont="1"/>
    <xf numFmtId="174" fontId="18" fillId="3" borderId="0" xfId="2" applyNumberFormat="1" applyFont="1" applyFill="1" applyAlignment="1">
      <alignment horizontal="center" vertical="center"/>
    </xf>
    <xf numFmtId="174" fontId="0" fillId="0" borderId="0" xfId="0" applyNumberFormat="1"/>
    <xf numFmtId="174" fontId="23" fillId="0" borderId="0" xfId="0" applyNumberFormat="1" applyFont="1"/>
    <xf numFmtId="174" fontId="0" fillId="3" borderId="0" xfId="0" applyNumberFormat="1" applyFill="1"/>
    <xf numFmtId="174" fontId="14" fillId="4" borderId="0" xfId="2" applyNumberFormat="1" applyFont="1" applyFill="1" applyAlignment="1">
      <alignment horizontal="center" vertical="center"/>
    </xf>
    <xf numFmtId="174" fontId="12" fillId="0" borderId="0" xfId="0" applyNumberFormat="1" applyFont="1" applyAlignment="1">
      <alignment horizontal="left" indent="3"/>
    </xf>
    <xf numFmtId="174" fontId="25" fillId="0" borderId="0" xfId="0" applyNumberFormat="1" applyFont="1" applyAlignment="1">
      <alignment vertical="center"/>
    </xf>
    <xf numFmtId="174" fontId="12" fillId="0" borderId="0" xfId="0" applyNumberFormat="1" applyFont="1" applyAlignment="1">
      <alignment horizontal="center"/>
    </xf>
    <xf numFmtId="174" fontId="3" fillId="0" borderId="0" xfId="0" applyNumberFormat="1" applyFont="1"/>
    <xf numFmtId="174" fontId="23" fillId="11" borderId="0" xfId="5" applyNumberFormat="1" applyFont="1" applyFill="1" applyAlignment="1">
      <alignment horizontal="left" vertical="center" indent="2"/>
    </xf>
    <xf numFmtId="174" fontId="25" fillId="0" borderId="0" xfId="0" applyNumberFormat="1" applyFont="1" applyAlignment="1">
      <alignment horizontal="left" vertical="center"/>
    </xf>
    <xf numFmtId="174" fontId="23" fillId="8" borderId="0" xfId="0" applyNumberFormat="1" applyFont="1" applyFill="1" applyAlignment="1">
      <alignment horizontal="center"/>
    </xf>
    <xf numFmtId="174" fontId="25" fillId="0" borderId="0" xfId="0" applyNumberFormat="1" applyFont="1" applyAlignment="1">
      <alignment horizontal="center" vertical="center"/>
    </xf>
    <xf numFmtId="174" fontId="29" fillId="0" borderId="0" xfId="0" applyNumberFormat="1" applyFont="1" applyAlignment="1">
      <alignment vertical="center"/>
    </xf>
    <xf numFmtId="174" fontId="29" fillId="0" borderId="0" xfId="0" applyNumberFormat="1" applyFont="1" applyAlignment="1">
      <alignment horizontal="left" vertical="center"/>
    </xf>
    <xf numFmtId="174" fontId="23" fillId="11" borderId="0" xfId="4" applyNumberFormat="1" applyFont="1" applyFill="1" applyBorder="1" applyAlignment="1">
      <alignment horizontal="left" vertical="center" indent="2"/>
    </xf>
    <xf numFmtId="174" fontId="22" fillId="0" borderId="0" xfId="0" applyNumberFormat="1" applyFont="1" applyAlignment="1">
      <alignment vertical="center"/>
    </xf>
    <xf numFmtId="174" fontId="23" fillId="11" borderId="0" xfId="0" applyNumberFormat="1" applyFont="1" applyFill="1" applyAlignment="1">
      <alignment horizontal="center"/>
    </xf>
    <xf numFmtId="174" fontId="14" fillId="12" borderId="0" xfId="0" applyNumberFormat="1" applyFont="1" applyFill="1" applyAlignment="1">
      <alignment horizontal="center"/>
    </xf>
    <xf numFmtId="174" fontId="24" fillId="0" borderId="0" xfId="0" applyNumberFormat="1" applyFont="1" applyAlignment="1">
      <alignment vertical="center"/>
    </xf>
    <xf numFmtId="174" fontId="12" fillId="0" borderId="0" xfId="0" applyNumberFormat="1" applyFont="1" applyAlignment="1">
      <alignment horizontal="left"/>
    </xf>
    <xf numFmtId="174" fontId="28" fillId="0" borderId="0" xfId="0" applyNumberFormat="1" applyFont="1" applyAlignment="1">
      <alignment horizontal="left"/>
    </xf>
    <xf numFmtId="174" fontId="21" fillId="0" borderId="0" xfId="0" applyNumberFormat="1" applyFont="1"/>
    <xf numFmtId="174" fontId="2" fillId="0" borderId="0" xfId="0" applyNumberFormat="1" applyFont="1"/>
    <xf numFmtId="174" fontId="4" fillId="0" borderId="0" xfId="0" applyNumberFormat="1" applyFont="1"/>
    <xf numFmtId="174" fontId="20" fillId="6" borderId="1" xfId="2" applyNumberFormat="1" applyFont="1" applyFill="1" applyBorder="1" applyAlignment="1">
      <alignment horizontal="center" vertical="center"/>
    </xf>
    <xf numFmtId="174" fontId="23" fillId="11" borderId="0" xfId="0" applyNumberFormat="1" applyFont="1" applyFill="1"/>
    <xf numFmtId="174" fontId="12" fillId="0" borderId="0" xfId="0" applyNumberFormat="1" applyFont="1" applyAlignment="1">
      <alignment horizontal="left" indent="1"/>
    </xf>
    <xf numFmtId="174" fontId="27" fillId="0" borderId="0" xfId="0" applyNumberFormat="1" applyFont="1" applyAlignment="1">
      <alignment horizontal="left"/>
    </xf>
    <xf numFmtId="174" fontId="12" fillId="0" borderId="0" xfId="0" applyNumberFormat="1" applyFont="1" applyAlignment="1">
      <alignment horizontal="left" indent="4"/>
    </xf>
    <xf numFmtId="174" fontId="23" fillId="0" borderId="0" xfId="0" applyNumberFormat="1" applyFont="1" applyAlignment="1">
      <alignment horizontal="center"/>
    </xf>
    <xf numFmtId="174" fontId="39" fillId="0" borderId="0" xfId="0" applyNumberFormat="1" applyFont="1" applyAlignment="1">
      <alignment horizontal="center"/>
    </xf>
    <xf numFmtId="174" fontId="12" fillId="11" borderId="0" xfId="0" applyNumberFormat="1" applyFont="1" applyFill="1"/>
    <xf numFmtId="174" fontId="12" fillId="11" borderId="0" xfId="0" applyNumberFormat="1" applyFont="1" applyFill="1" applyAlignment="1">
      <alignment horizontal="center"/>
    </xf>
    <xf numFmtId="174" fontId="27" fillId="0" borderId="0" xfId="7" applyNumberFormat="1" applyFont="1" applyAlignment="1">
      <alignment horizontal="left"/>
    </xf>
    <xf numFmtId="174" fontId="42" fillId="0" borderId="0" xfId="7" applyNumberFormat="1" applyFont="1"/>
    <xf numFmtId="174" fontId="37" fillId="3" borderId="0" xfId="0" applyNumberFormat="1" applyFont="1" applyFill="1" applyAlignment="1">
      <alignment horizontal="left" indent="1"/>
    </xf>
    <xf numFmtId="174" fontId="38" fillId="3" borderId="0" xfId="0" applyNumberFormat="1" applyFont="1" applyFill="1"/>
    <xf numFmtId="175" fontId="23" fillId="11" borderId="0" xfId="0" applyNumberFormat="1" applyFont="1" applyFill="1"/>
    <xf numFmtId="175" fontId="0" fillId="0" borderId="0" xfId="0" applyNumberFormat="1"/>
    <xf numFmtId="175" fontId="23" fillId="11" borderId="0" xfId="0" applyNumberFormat="1" applyFont="1" applyFill="1" applyAlignment="1">
      <alignment horizontal="center"/>
    </xf>
    <xf numFmtId="175" fontId="39" fillId="11" borderId="0" xfId="0" applyNumberFormat="1" applyFont="1" applyFill="1" applyAlignment="1">
      <alignment horizontal="center"/>
    </xf>
    <xf numFmtId="10" fontId="12" fillId="0" borderId="0" xfId="7" applyNumberFormat="1" applyFont="1" applyAlignment="1">
      <alignment horizontal="center"/>
    </xf>
    <xf numFmtId="10" fontId="0" fillId="0" borderId="0" xfId="0" applyNumberFormat="1"/>
    <xf numFmtId="174" fontId="0" fillId="0" borderId="0" xfId="0" applyNumberFormat="1" applyAlignment="1">
      <alignment horizontal="left"/>
    </xf>
    <xf numFmtId="174" fontId="18" fillId="12" borderId="0" xfId="0" applyNumberFormat="1" applyFont="1" applyFill="1" applyAlignment="1">
      <alignment horizontal="left"/>
    </xf>
    <xf numFmtId="174" fontId="23" fillId="12" borderId="0" xfId="0" applyNumberFormat="1" applyFont="1" applyFill="1" applyAlignment="1">
      <alignment horizontal="center"/>
    </xf>
    <xf numFmtId="174" fontId="23" fillId="11" borderId="0" xfId="0" applyNumberFormat="1" applyFont="1" applyFill="1" applyAlignment="1">
      <alignment horizontal="left"/>
    </xf>
    <xf numFmtId="174" fontId="22" fillId="0" borderId="0" xfId="0" applyNumberFormat="1" applyFont="1" applyAlignment="1">
      <alignment horizontal="left"/>
    </xf>
    <xf numFmtId="174" fontId="22" fillId="0" borderId="0" xfId="0" applyNumberFormat="1" applyFont="1" applyAlignment="1">
      <alignment horizontal="center"/>
    </xf>
    <xf numFmtId="174" fontId="41" fillId="0" borderId="0" xfId="0" applyNumberFormat="1" applyFont="1" applyAlignment="1">
      <alignment horizontal="center"/>
    </xf>
    <xf numFmtId="174" fontId="23" fillId="10" borderId="0" xfId="0" applyNumberFormat="1" applyFont="1" applyFill="1" applyAlignment="1">
      <alignment horizontal="left"/>
    </xf>
    <xf numFmtId="174" fontId="24" fillId="0" borderId="0" xfId="1" applyNumberFormat="1" applyFont="1" applyAlignment="1">
      <alignment vertical="center"/>
    </xf>
    <xf numFmtId="174" fontId="23" fillId="10" borderId="0" xfId="0" applyNumberFormat="1" applyFont="1" applyFill="1" applyAlignment="1">
      <alignment horizontal="center"/>
    </xf>
    <xf numFmtId="174" fontId="23" fillId="0" borderId="0" xfId="0" applyNumberFormat="1" applyFont="1" applyAlignment="1">
      <alignment horizontal="left"/>
    </xf>
    <xf numFmtId="174" fontId="23" fillId="10" borderId="0" xfId="0" applyNumberFormat="1" applyFont="1" applyFill="1" applyAlignment="1">
      <alignment horizontal="left" vertical="center"/>
    </xf>
    <xf numFmtId="174" fontId="23" fillId="10" borderId="0" xfId="0" applyNumberFormat="1" applyFont="1" applyFill="1" applyAlignment="1">
      <alignment horizontal="center" vertical="center"/>
    </xf>
    <xf numFmtId="174" fontId="23" fillId="0" borderId="0" xfId="0" applyNumberFormat="1" applyFont="1" applyAlignment="1">
      <alignment horizontal="center" vertical="center"/>
    </xf>
    <xf numFmtId="14" fontId="18" fillId="6" borderId="0" xfId="2" applyNumberFormat="1" applyFont="1" applyFill="1" applyAlignment="1">
      <alignment horizontal="left" vertical="center"/>
    </xf>
    <xf numFmtId="14" fontId="0" fillId="0" borderId="0" xfId="0" applyNumberFormat="1"/>
    <xf numFmtId="14" fontId="23" fillId="0" borderId="0" xfId="0" applyNumberFormat="1" applyFont="1"/>
    <xf numFmtId="14" fontId="0" fillId="3" borderId="0" xfId="0" applyNumberFormat="1" applyFill="1"/>
    <xf numFmtId="174" fontId="43" fillId="0" borderId="0" xfId="2" applyNumberFormat="1" applyFont="1" applyAlignment="1">
      <alignment horizontal="center" vertical="center"/>
    </xf>
    <xf numFmtId="174" fontId="43" fillId="3" borderId="0" xfId="2" applyNumberFormat="1" applyFont="1" applyFill="1" applyAlignment="1">
      <alignment horizontal="center" vertical="center"/>
    </xf>
    <xf numFmtId="175" fontId="23" fillId="0" borderId="0" xfId="0" applyNumberFormat="1" applyFont="1" applyAlignment="1">
      <alignment horizontal="center"/>
    </xf>
    <xf numFmtId="176" fontId="23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</cellXfs>
  <cellStyles count="9">
    <cellStyle name="Moeda" xfId="6" builtinId="4"/>
    <cellStyle name="Normal" xfId="0" builtinId="0"/>
    <cellStyle name="Normal 2 2" xfId="2" xr:uid="{91ED62A4-13CA-49CA-B9F6-44FFF6A0C743}"/>
    <cellStyle name="Normal 5 2" xfId="3" xr:uid="{00ABA0E8-0750-46EF-88D0-C896D554C6DD}"/>
    <cellStyle name="Normal_VADIC_novo3" xfId="5" xr:uid="{3262777F-5722-4EC2-A701-108D782C4A98}"/>
    <cellStyle name="Porcentagem" xfId="7" builtinId="5"/>
    <cellStyle name="Separador de milhares 2" xfId="4" xr:uid="{28D798DF-5735-4147-BC36-8C6D0C63D90A}"/>
    <cellStyle name="Vírgula" xfId="1" builtinId="3"/>
    <cellStyle name="Vírgula 2 3 2" xfId="8" xr:uid="{2CC01BA4-CABE-4F6A-BE8C-8B68933140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13" Type="http://schemas.openxmlformats.org/officeDocument/2006/relationships/image" Target="../media/image7.svg"/><Relationship Id="rId3" Type="http://schemas.openxmlformats.org/officeDocument/2006/relationships/hyperlink" Target="#'DRE | Income Statement'!A1"/><Relationship Id="rId7" Type="http://schemas.openxmlformats.org/officeDocument/2006/relationships/image" Target="../media/image4.png"/><Relationship Id="rId12" Type="http://schemas.openxmlformats.org/officeDocument/2006/relationships/image" Target="../media/image6.png"/><Relationship Id="rId2" Type="http://schemas.openxmlformats.org/officeDocument/2006/relationships/image" Target="../media/image1.png"/><Relationship Id="rId16" Type="http://schemas.openxmlformats.org/officeDocument/2006/relationships/image" Target="../media/image9.png"/><Relationship Id="rId1" Type="http://schemas.openxmlformats.org/officeDocument/2006/relationships/hyperlink" Target="#'Fluxo de Caixa | Cash Flow'!A1"/><Relationship Id="rId6" Type="http://schemas.openxmlformats.org/officeDocument/2006/relationships/hyperlink" Target="#'Bal Patrimonial | Balance Sheet'!A1"/><Relationship Id="rId11" Type="http://schemas.openxmlformats.org/officeDocument/2006/relationships/hyperlink" Target="#'Operacional | Operational'!A1"/><Relationship Id="rId5" Type="http://schemas.openxmlformats.org/officeDocument/2006/relationships/image" Target="../media/image3.svg"/><Relationship Id="rId15" Type="http://schemas.openxmlformats.org/officeDocument/2006/relationships/image" Target="../media/image8.emf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#'Destaques | Highlights'!A1"/><Relationship Id="rId14" Type="http://schemas.openxmlformats.org/officeDocument/2006/relationships/hyperlink" Target="#'Proje&#231;&#245;es | Guidance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svg"/><Relationship Id="rId2" Type="http://schemas.openxmlformats.org/officeDocument/2006/relationships/image" Target="../media/image10.png"/><Relationship Id="rId1" Type="http://schemas.openxmlformats.org/officeDocument/2006/relationships/hyperlink" Target="#Menu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svg"/><Relationship Id="rId2" Type="http://schemas.openxmlformats.org/officeDocument/2006/relationships/image" Target="../media/image10.png"/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svg"/><Relationship Id="rId2" Type="http://schemas.openxmlformats.org/officeDocument/2006/relationships/image" Target="../media/image10.png"/><Relationship Id="rId1" Type="http://schemas.openxmlformats.org/officeDocument/2006/relationships/hyperlink" Target="#Menu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svg"/><Relationship Id="rId2" Type="http://schemas.openxmlformats.org/officeDocument/2006/relationships/image" Target="../media/image13.png"/><Relationship Id="rId1" Type="http://schemas.openxmlformats.org/officeDocument/2006/relationships/hyperlink" Target="#Menu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svg"/><Relationship Id="rId2" Type="http://schemas.openxmlformats.org/officeDocument/2006/relationships/image" Target="../media/image10.png"/><Relationship Id="rId1" Type="http://schemas.openxmlformats.org/officeDocument/2006/relationships/hyperlink" Target="#Menu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svg"/><Relationship Id="rId2" Type="http://schemas.openxmlformats.org/officeDocument/2006/relationships/image" Target="../media/image10.png"/><Relationship Id="rId1" Type="http://schemas.openxmlformats.org/officeDocument/2006/relationships/hyperlink" Target="#Menu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254086</xdr:colOff>
      <xdr:row>21</xdr:row>
      <xdr:rowOff>175893</xdr:rowOff>
    </xdr:from>
    <xdr:to>
      <xdr:col>6</xdr:col>
      <xdr:colOff>1265486</xdr:colOff>
      <xdr:row>25</xdr:row>
      <xdr:rowOff>218350</xdr:rowOff>
    </xdr:to>
    <xdr:grpSp>
      <xdr:nvGrpSpPr>
        <xdr:cNvPr id="61" name="Agrupar 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076043-8CFA-E546-1FF0-F7DF26E85E9D}"/>
            </a:ext>
          </a:extLst>
        </xdr:cNvPr>
        <xdr:cNvGrpSpPr/>
      </xdr:nvGrpSpPr>
      <xdr:grpSpPr>
        <a:xfrm>
          <a:off x="5918286" y="5789293"/>
          <a:ext cx="3780000" cy="1007657"/>
          <a:chOff x="1536787" y="7414893"/>
          <a:chExt cx="3679663" cy="1007657"/>
        </a:xfrm>
      </xdr:grpSpPr>
      <xdr:sp macro="" textlink="">
        <xdr:nvSpPr>
          <xdr:cNvPr id="3" name="Retângulo: Cantos Arredondados 2">
            <a:extLst>
              <a:ext uri="{FF2B5EF4-FFF2-40B4-BE49-F238E27FC236}">
                <a16:creationId xmlns:a16="http://schemas.microsoft.com/office/drawing/2014/main" id="{B82A5BC8-EA62-57AF-2251-FC3A2C7D55E3}"/>
              </a:ext>
            </a:extLst>
          </xdr:cNvPr>
          <xdr:cNvSpPr/>
        </xdr:nvSpPr>
        <xdr:spPr>
          <a:xfrm>
            <a:off x="2140216" y="7414893"/>
            <a:ext cx="3076234" cy="1007657"/>
          </a:xfrm>
          <a:prstGeom prst="roundRect">
            <a:avLst>
              <a:gd name="adj" fmla="val 16667"/>
            </a:avLst>
          </a:prstGeom>
          <a:solidFill>
            <a:schemeClr val="accent3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1" algn="r"/>
            <a:r>
              <a:rPr lang="pt-BR" sz="1600" b="1">
                <a:solidFill>
                  <a:schemeClr val="lt1"/>
                </a:solidFill>
                <a:latin typeface="+mj-lt"/>
                <a:ea typeface="+mn-ea"/>
                <a:cs typeface="+mn-cs"/>
              </a:rPr>
              <a:t>Fluxo</a:t>
            </a:r>
            <a:r>
              <a:rPr lang="pt-BR" sz="1600" b="1" baseline="0">
                <a:solidFill>
                  <a:schemeClr val="lt1"/>
                </a:solidFill>
                <a:latin typeface="+mj-lt"/>
                <a:ea typeface="+mn-ea"/>
                <a:cs typeface="+mn-cs"/>
              </a:rPr>
              <a:t> de Caixa</a:t>
            </a:r>
          </a:p>
          <a:p>
            <a:pPr lvl="1" algn="r"/>
            <a:r>
              <a:rPr lang="pt-BR" sz="1600" b="1" baseline="0">
                <a:solidFill>
                  <a:schemeClr val="lt1"/>
                </a:solidFill>
                <a:latin typeface="+mj-lt"/>
                <a:ea typeface="+mn-ea"/>
                <a:cs typeface="+mn-cs"/>
              </a:rPr>
              <a:t>Cash Flow</a:t>
            </a:r>
            <a:endParaRPr lang="pt-BR" sz="1600" b="1">
              <a:solidFill>
                <a:schemeClr val="lt1"/>
              </a:solidFill>
              <a:latin typeface="+mj-lt"/>
              <a:ea typeface="+mn-ea"/>
              <a:cs typeface="+mn-cs"/>
            </a:endParaRPr>
          </a:p>
        </xdr:txBody>
      </xdr:sp>
      <xdr:sp macro="" textlink="">
        <xdr:nvSpPr>
          <xdr:cNvPr id="4" name="Elipse 3">
            <a:extLst>
              <a:ext uri="{FF2B5EF4-FFF2-40B4-BE49-F238E27FC236}">
                <a16:creationId xmlns:a16="http://schemas.microsoft.com/office/drawing/2014/main" id="{E6E0EE98-1F57-391C-C09E-97212B10F6BA}"/>
              </a:ext>
            </a:extLst>
          </xdr:cNvPr>
          <xdr:cNvSpPr/>
        </xdr:nvSpPr>
        <xdr:spPr>
          <a:xfrm>
            <a:off x="1536787" y="7420647"/>
            <a:ext cx="1079357" cy="993109"/>
          </a:xfrm>
          <a:prstGeom prst="ellips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5" name="Gráfico 8">
            <a:extLst>
              <a:ext uri="{FF2B5EF4-FFF2-40B4-BE49-F238E27FC236}">
                <a16:creationId xmlns:a16="http://schemas.microsoft.com/office/drawing/2014/main" id="{BFA9551C-1BF3-F857-BAE0-39520029DD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742698" y="7659748"/>
            <a:ext cx="564224" cy="514904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254086</xdr:colOff>
      <xdr:row>15</xdr:row>
      <xdr:rowOff>162210</xdr:rowOff>
    </xdr:from>
    <xdr:to>
      <xdr:col>6</xdr:col>
      <xdr:colOff>1265486</xdr:colOff>
      <xdr:row>20</xdr:row>
      <xdr:rowOff>66363</xdr:rowOff>
    </xdr:to>
    <xdr:grpSp>
      <xdr:nvGrpSpPr>
        <xdr:cNvPr id="60" name="Agrupar 5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F00FE2-4DB0-34B2-5A43-F5767E566B7D}"/>
            </a:ext>
          </a:extLst>
        </xdr:cNvPr>
        <xdr:cNvGrpSpPr/>
      </xdr:nvGrpSpPr>
      <xdr:grpSpPr>
        <a:xfrm>
          <a:off x="5918286" y="4327810"/>
          <a:ext cx="3780000" cy="1110653"/>
          <a:chOff x="1536787" y="5870861"/>
          <a:chExt cx="3691051" cy="1110653"/>
        </a:xfrm>
      </xdr:grpSpPr>
      <xdr:sp macro="" textlink="">
        <xdr:nvSpPr>
          <xdr:cNvPr id="7" name="Retângulo: Cantos Arredondados 6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9C4EEA1B-2208-5947-EBE6-2378EF1F142D}"/>
              </a:ext>
            </a:extLst>
          </xdr:cNvPr>
          <xdr:cNvSpPr/>
        </xdr:nvSpPr>
        <xdr:spPr>
          <a:xfrm>
            <a:off x="2142084" y="5870861"/>
            <a:ext cx="3085754" cy="1110653"/>
          </a:xfrm>
          <a:prstGeom prst="roundRect">
            <a:avLst>
              <a:gd name="adj" fmla="val 16667"/>
            </a:avLst>
          </a:prstGeom>
          <a:solidFill>
            <a:schemeClr val="accent3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1" algn="r"/>
            <a:r>
              <a:rPr lang="pt-BR" sz="1600" b="1">
                <a:latin typeface="+mj-lt"/>
              </a:rPr>
              <a:t>DRE</a:t>
            </a:r>
            <a:r>
              <a:rPr lang="pt-BR" sz="1600" b="1" baseline="0">
                <a:latin typeface="+mj-lt"/>
              </a:rPr>
              <a:t> </a:t>
            </a:r>
          </a:p>
          <a:p>
            <a:pPr lvl="1" algn="r"/>
            <a:r>
              <a:rPr lang="pt-BR" sz="1600" b="1" baseline="0">
                <a:solidFill>
                  <a:schemeClr val="lt1"/>
                </a:solidFill>
                <a:latin typeface="+mj-lt"/>
                <a:ea typeface="+mn-ea"/>
                <a:cs typeface="+mn-cs"/>
              </a:rPr>
              <a:t>Income Statement </a:t>
            </a:r>
          </a:p>
        </xdr:txBody>
      </xdr:sp>
      <xdr:sp macro="" textlink="">
        <xdr:nvSpPr>
          <xdr:cNvPr id="8" name="Elipse 7">
            <a:extLst>
              <a:ext uri="{FF2B5EF4-FFF2-40B4-BE49-F238E27FC236}">
                <a16:creationId xmlns:a16="http://schemas.microsoft.com/office/drawing/2014/main" id="{39ADAFF4-CBD9-431B-D0CA-7EE4A90444C1}"/>
              </a:ext>
            </a:extLst>
          </xdr:cNvPr>
          <xdr:cNvSpPr/>
        </xdr:nvSpPr>
        <xdr:spPr>
          <a:xfrm>
            <a:off x="1536787" y="5880555"/>
            <a:ext cx="1081629" cy="1091262"/>
          </a:xfrm>
          <a:prstGeom prst="ellips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9" name="Gráfico 8" descr="Tendência ascendente com preenchimento sólido">
            <a:extLst>
              <a:ext uri="{FF2B5EF4-FFF2-40B4-BE49-F238E27FC236}">
                <a16:creationId xmlns:a16="http://schemas.microsoft.com/office/drawing/2014/main" id="{A396B879-E1FD-405C-AA38-86E1EC113D4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5"/>
              </a:ext>
            </a:extLst>
          </a:blip>
          <a:stretch>
            <a:fillRect/>
          </a:stretch>
        </xdr:blipFill>
        <xdr:spPr>
          <a:xfrm>
            <a:off x="1743538" y="6124503"/>
            <a:ext cx="564255" cy="603366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254087</xdr:colOff>
      <xdr:row>9</xdr:row>
      <xdr:rowOff>215966</xdr:rowOff>
    </xdr:from>
    <xdr:to>
      <xdr:col>6</xdr:col>
      <xdr:colOff>1265487</xdr:colOff>
      <xdr:row>14</xdr:row>
      <xdr:rowOff>52681</xdr:rowOff>
    </xdr:to>
    <xdr:grpSp>
      <xdr:nvGrpSpPr>
        <xdr:cNvPr id="59" name="Agrupar 5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AF3C322-E265-8051-0B7C-52E495D04E92}"/>
            </a:ext>
          </a:extLst>
        </xdr:cNvPr>
        <xdr:cNvGrpSpPr/>
      </xdr:nvGrpSpPr>
      <xdr:grpSpPr>
        <a:xfrm>
          <a:off x="5918287" y="2933766"/>
          <a:ext cx="3780000" cy="1043215"/>
          <a:chOff x="1536787" y="4394266"/>
          <a:chExt cx="3693434" cy="1043215"/>
        </a:xfrm>
      </xdr:grpSpPr>
      <xdr:sp macro="" textlink="">
        <xdr:nvSpPr>
          <xdr:cNvPr id="11" name="Retângulo: Cantos Arredondados 10">
            <a:extLst>
              <a:ext uri="{FF2B5EF4-FFF2-40B4-BE49-F238E27FC236}">
                <a16:creationId xmlns:a16="http://schemas.microsoft.com/office/drawing/2014/main" id="{6FC9D41D-57B3-EEA3-0618-14A427B3015C}"/>
              </a:ext>
            </a:extLst>
          </xdr:cNvPr>
          <xdr:cNvSpPr/>
        </xdr:nvSpPr>
        <xdr:spPr>
          <a:xfrm>
            <a:off x="2144470" y="4394266"/>
            <a:ext cx="3085751" cy="1043215"/>
          </a:xfrm>
          <a:prstGeom prst="roundRect">
            <a:avLst/>
          </a:prstGeom>
          <a:solidFill>
            <a:schemeClr val="accent3">
              <a:lumMod val="5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1" algn="r"/>
            <a:r>
              <a:rPr lang="pt-BR" sz="1600" b="1" baseline="0">
                <a:latin typeface="+mj-lt"/>
              </a:rPr>
              <a:t>Balanço Patrimonial    Balance Sheet</a:t>
            </a:r>
            <a:endParaRPr lang="pt-BR" sz="1100" b="1" baseline="0">
              <a:latin typeface="+mj-lt"/>
            </a:endParaRPr>
          </a:p>
        </xdr:txBody>
      </xdr:sp>
      <xdr:sp macro="" textlink="">
        <xdr:nvSpPr>
          <xdr:cNvPr id="12" name="Elipse 11">
            <a:extLst>
              <a:ext uri="{FF2B5EF4-FFF2-40B4-BE49-F238E27FC236}">
                <a16:creationId xmlns:a16="http://schemas.microsoft.com/office/drawing/2014/main" id="{B8660D71-914C-3870-B738-F989BC5DFBA7}"/>
              </a:ext>
            </a:extLst>
          </xdr:cNvPr>
          <xdr:cNvSpPr/>
        </xdr:nvSpPr>
        <xdr:spPr>
          <a:xfrm>
            <a:off x="1536787" y="4403372"/>
            <a:ext cx="1081629" cy="1025003"/>
          </a:xfrm>
          <a:prstGeom prst="ellipse">
            <a:avLst/>
          </a:prstGeom>
          <a:solidFill>
            <a:sysClr val="window" lastClr="FFFF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13" name="Imagem 12" descr="Forma&#10;&#10;Descrição gerada automaticamente com confiança baixa">
            <a:extLst>
              <a:ext uri="{FF2B5EF4-FFF2-40B4-BE49-F238E27FC236}">
                <a16:creationId xmlns:a16="http://schemas.microsoft.com/office/drawing/2014/main" id="{3F41D722-B171-4554-8D8E-A567216443C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duotone>
              <a:prstClr val="black"/>
              <a:schemeClr val="accent1">
                <a:tint val="45000"/>
                <a:satMod val="400000"/>
              </a:schemeClr>
            </a:duotone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colorTemperature colorTemp="112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779057" y="4633318"/>
            <a:ext cx="564254" cy="565110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256367</xdr:colOff>
      <xdr:row>9</xdr:row>
      <xdr:rowOff>204106</xdr:rowOff>
    </xdr:from>
    <xdr:to>
      <xdr:col>3</xdr:col>
      <xdr:colOff>1876105</xdr:colOff>
      <xdr:row>14</xdr:row>
      <xdr:rowOff>41606</xdr:rowOff>
    </xdr:to>
    <xdr:grpSp>
      <xdr:nvGrpSpPr>
        <xdr:cNvPr id="64" name="Agrupar 6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4B0D3EC-7675-004A-02AC-249152E4B9FC}"/>
            </a:ext>
          </a:extLst>
        </xdr:cNvPr>
        <xdr:cNvGrpSpPr/>
      </xdr:nvGrpSpPr>
      <xdr:grpSpPr>
        <a:xfrm>
          <a:off x="992967" y="2921906"/>
          <a:ext cx="4388338" cy="1044000"/>
          <a:chOff x="1536789" y="2921906"/>
          <a:chExt cx="4388338" cy="1044000"/>
        </a:xfrm>
      </xdr:grpSpPr>
      <xdr:sp macro="" textlink="">
        <xdr:nvSpPr>
          <xdr:cNvPr id="15" name="Retângulo: Cantos Arredondados 14">
            <a:extLst>
              <a:ext uri="{FF2B5EF4-FFF2-40B4-BE49-F238E27FC236}">
                <a16:creationId xmlns:a16="http://schemas.microsoft.com/office/drawing/2014/main" id="{D8545232-36B9-D7D8-8D0E-083AB9581182}"/>
              </a:ext>
            </a:extLst>
          </xdr:cNvPr>
          <xdr:cNvSpPr/>
        </xdr:nvSpPr>
        <xdr:spPr>
          <a:xfrm>
            <a:off x="2145127" y="2921906"/>
            <a:ext cx="3780000" cy="1044000"/>
          </a:xfrm>
          <a:prstGeom prst="roundRect">
            <a:avLst/>
          </a:prstGeom>
          <a:solidFill>
            <a:schemeClr val="accent3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r"/>
            <a:r>
              <a:rPr lang="pt-BR" sz="1800" b="1">
                <a:latin typeface="+mj-lt"/>
              </a:rPr>
              <a:t>   </a:t>
            </a:r>
            <a:r>
              <a:rPr lang="pt-BR" sz="1600" b="1">
                <a:latin typeface="+mj-lt"/>
              </a:rPr>
              <a:t>Destaques</a:t>
            </a:r>
          </a:p>
          <a:p>
            <a:pPr algn="r"/>
            <a:r>
              <a:rPr lang="pt-BR" sz="1600" b="1">
                <a:latin typeface="+mj-lt"/>
              </a:rPr>
              <a:t>Highlights</a:t>
            </a:r>
            <a:endParaRPr lang="pt-BR" sz="1600" b="1" baseline="0">
              <a:latin typeface="+mj-lt"/>
            </a:endParaRPr>
          </a:p>
        </xdr:txBody>
      </xdr:sp>
      <xdr:grpSp>
        <xdr:nvGrpSpPr>
          <xdr:cNvPr id="63" name="Agrupar 62">
            <a:extLst>
              <a:ext uri="{FF2B5EF4-FFF2-40B4-BE49-F238E27FC236}">
                <a16:creationId xmlns:a16="http://schemas.microsoft.com/office/drawing/2014/main" id="{1DCBA660-FCD9-50EC-B8F5-5DF90DEAF303}"/>
              </a:ext>
            </a:extLst>
          </xdr:cNvPr>
          <xdr:cNvGrpSpPr/>
        </xdr:nvGrpSpPr>
        <xdr:grpSpPr>
          <a:xfrm>
            <a:off x="1536789" y="2931340"/>
            <a:ext cx="1077144" cy="1016488"/>
            <a:chOff x="1536789" y="2931340"/>
            <a:chExt cx="1077144" cy="1016488"/>
          </a:xfrm>
        </xdr:grpSpPr>
        <xdr:sp macro="" textlink="">
          <xdr:nvSpPr>
            <xdr:cNvPr id="16" name="Elipse 15">
              <a:extLst>
                <a:ext uri="{FF2B5EF4-FFF2-40B4-BE49-F238E27FC236}">
                  <a16:creationId xmlns:a16="http://schemas.microsoft.com/office/drawing/2014/main" id="{7C1CCB52-ED10-8CD7-7E14-F5B61ADF5A14}"/>
                </a:ext>
              </a:extLst>
            </xdr:cNvPr>
            <xdr:cNvSpPr/>
          </xdr:nvSpPr>
          <xdr:spPr>
            <a:xfrm>
              <a:off x="1536789" y="2931340"/>
              <a:ext cx="1077144" cy="1016488"/>
            </a:xfrm>
            <a:prstGeom prst="ellipse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000"/>
            </a:p>
          </xdr:txBody>
        </xdr:sp>
        <xdr:pic>
          <xdr:nvPicPr>
            <xdr:cNvPr id="17" name="Imagem 16">
              <a:extLst>
                <a:ext uri="{FF2B5EF4-FFF2-40B4-BE49-F238E27FC236}">
                  <a16:creationId xmlns:a16="http://schemas.microsoft.com/office/drawing/2014/main" id="{49B8A155-EA85-3110-78FF-831518DF478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67017" y="3158859"/>
              <a:ext cx="611380" cy="561446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lt1"/>
            </a:fontRef>
          </xdr:style>
        </xdr:pic>
      </xdr:grpSp>
    </xdr:grpSp>
    <xdr:clientData/>
  </xdr:twoCellAnchor>
  <xdr:twoCellAnchor>
    <xdr:from>
      <xdr:col>1</xdr:col>
      <xdr:colOff>256367</xdr:colOff>
      <xdr:row>15</xdr:row>
      <xdr:rowOff>192009</xdr:rowOff>
    </xdr:from>
    <xdr:to>
      <xdr:col>3</xdr:col>
      <xdr:colOff>1887651</xdr:colOff>
      <xdr:row>20</xdr:row>
      <xdr:rowOff>29509</xdr:rowOff>
    </xdr:to>
    <xdr:grpSp>
      <xdr:nvGrpSpPr>
        <xdr:cNvPr id="57" name="Agrupar 5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7AA88D3-E7BB-D4C7-CFB6-7C44F9C988C7}"/>
            </a:ext>
          </a:extLst>
        </xdr:cNvPr>
        <xdr:cNvGrpSpPr/>
      </xdr:nvGrpSpPr>
      <xdr:grpSpPr>
        <a:xfrm>
          <a:off x="992967" y="4357609"/>
          <a:ext cx="4399884" cy="1044000"/>
          <a:chOff x="9183913" y="4394266"/>
          <a:chExt cx="4281653" cy="970431"/>
        </a:xfrm>
      </xdr:grpSpPr>
      <xdr:grpSp>
        <xdr:nvGrpSpPr>
          <xdr:cNvPr id="56" name="Agrupar 55">
            <a:extLst>
              <a:ext uri="{FF2B5EF4-FFF2-40B4-BE49-F238E27FC236}">
                <a16:creationId xmlns:a16="http://schemas.microsoft.com/office/drawing/2014/main" id="{750E65CB-2400-D1A7-3050-ACD475B49DF8}"/>
              </a:ext>
            </a:extLst>
          </xdr:cNvPr>
          <xdr:cNvGrpSpPr/>
        </xdr:nvGrpSpPr>
        <xdr:grpSpPr>
          <a:xfrm>
            <a:off x="9183913" y="4394266"/>
            <a:ext cx="4281653" cy="970431"/>
            <a:chOff x="9183913" y="4394266"/>
            <a:chExt cx="4281653" cy="970431"/>
          </a:xfrm>
        </xdr:grpSpPr>
        <xdr:sp macro="" textlink="">
          <xdr:nvSpPr>
            <xdr:cNvPr id="36" name="Retângulo: Cantos Arredondados 35">
              <a:extLst>
                <a:ext uri="{FF2B5EF4-FFF2-40B4-BE49-F238E27FC236}">
                  <a16:creationId xmlns:a16="http://schemas.microsoft.com/office/drawing/2014/main" id="{10722958-C082-D1EB-68E6-52C8497141A5}"/>
                </a:ext>
              </a:extLst>
            </xdr:cNvPr>
            <xdr:cNvSpPr/>
          </xdr:nvSpPr>
          <xdr:spPr>
            <a:xfrm>
              <a:off x="9787140" y="4394266"/>
              <a:ext cx="3678426" cy="970431"/>
            </a:xfrm>
            <a:prstGeom prst="roundRect">
              <a:avLst>
                <a:gd name="adj" fmla="val 16667"/>
              </a:avLst>
            </a:prstGeom>
            <a:solidFill>
              <a:schemeClr val="accent6">
                <a:lumMod val="5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lvl="1" algn="r"/>
              <a:r>
                <a:rPr lang="pt-BR" sz="1600" b="1" baseline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Operacional</a:t>
              </a:r>
            </a:p>
            <a:p>
              <a:pPr lvl="1" algn="r"/>
              <a:r>
                <a:rPr lang="pt-BR" sz="1600" b="1" baseline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Operational</a:t>
              </a:r>
              <a:endParaRPr lang="pt-BR" sz="1300" b="0" baseline="0">
                <a:latin typeface="+mj-lt"/>
              </a:endParaRPr>
            </a:p>
          </xdr:txBody>
        </xdr:sp>
        <xdr:sp macro="" textlink="">
          <xdr:nvSpPr>
            <xdr:cNvPr id="37" name="Elipse 36">
              <a:extLst>
                <a:ext uri="{FF2B5EF4-FFF2-40B4-BE49-F238E27FC236}">
                  <a16:creationId xmlns:a16="http://schemas.microsoft.com/office/drawing/2014/main" id="{BDD8625E-1CB1-9CE1-7292-B892A45C8BCF}"/>
                </a:ext>
              </a:extLst>
            </xdr:cNvPr>
            <xdr:cNvSpPr/>
          </xdr:nvSpPr>
          <xdr:spPr>
            <a:xfrm>
              <a:off x="9183913" y="4399808"/>
              <a:ext cx="1078994" cy="956420"/>
            </a:xfrm>
            <a:prstGeom prst="ellipse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</xdr:grpSp>
      <xdr:pic>
        <xdr:nvPicPr>
          <xdr:cNvPr id="38" name="Imagem 64">
            <a:extLst>
              <a:ext uri="{FF2B5EF4-FFF2-40B4-BE49-F238E27FC236}">
                <a16:creationId xmlns:a16="http://schemas.microsoft.com/office/drawing/2014/main" id="{06535403-7D1D-4D74-A201-59949B174F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>
            <a:extLst>
              <a:ext uri="{96DAC541-7B7A-43D3-8B79-37D633B846F1}">
                <asvg:svgBlip xmlns:asvg="http://schemas.microsoft.com/office/drawing/2016/SVG/main" r:embed="rId13"/>
              </a:ext>
            </a:extLst>
          </a:blip>
          <a:srcRect/>
          <a:stretch/>
        </xdr:blipFill>
        <xdr:spPr>
          <a:xfrm>
            <a:off x="9515474" y="4518478"/>
            <a:ext cx="545760" cy="54213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256367</xdr:colOff>
      <xdr:row>21</xdr:row>
      <xdr:rowOff>179913</xdr:rowOff>
    </xdr:from>
    <xdr:to>
      <xdr:col>3</xdr:col>
      <xdr:colOff>1895019</xdr:colOff>
      <xdr:row>26</xdr:row>
      <xdr:rowOff>40767</xdr:rowOff>
    </xdr:to>
    <xdr:grpSp>
      <xdr:nvGrpSpPr>
        <xdr:cNvPr id="62" name="Agrupar 6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55A0CFB-267F-EE25-61E5-17789E7A2E8B}"/>
            </a:ext>
          </a:extLst>
        </xdr:cNvPr>
        <xdr:cNvGrpSpPr/>
      </xdr:nvGrpSpPr>
      <xdr:grpSpPr>
        <a:xfrm>
          <a:off x="992967" y="5793313"/>
          <a:ext cx="4407252" cy="1067354"/>
          <a:chOff x="5617028" y="4396168"/>
          <a:chExt cx="4407252" cy="992139"/>
        </a:xfrm>
      </xdr:grpSpPr>
      <xdr:sp macro="" textlink="">
        <xdr:nvSpPr>
          <xdr:cNvPr id="31" name="Retângulo: Cantos Arredondados 30">
            <a:extLst>
              <a:ext uri="{FF2B5EF4-FFF2-40B4-BE49-F238E27FC236}">
                <a16:creationId xmlns:a16="http://schemas.microsoft.com/office/drawing/2014/main" id="{A16A018D-50F5-82C1-F802-04810F5DDC10}"/>
              </a:ext>
            </a:extLst>
          </xdr:cNvPr>
          <xdr:cNvSpPr/>
        </xdr:nvSpPr>
        <xdr:spPr>
          <a:xfrm>
            <a:off x="6244280" y="4417876"/>
            <a:ext cx="3780000" cy="970431"/>
          </a:xfrm>
          <a:prstGeom prst="roundRect">
            <a:avLst>
              <a:gd name="adj" fmla="val 16667"/>
            </a:avLst>
          </a:prstGeom>
          <a:solidFill>
            <a:schemeClr val="accent3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pt-BR" sz="1600" b="1">
                <a:solidFill>
                  <a:schemeClr val="lt1"/>
                </a:solidFill>
                <a:effectLst/>
                <a:latin typeface="+mj-lt"/>
                <a:ea typeface="+mn-ea"/>
                <a:cs typeface="+mn-cs"/>
              </a:rPr>
              <a:t>Projeções</a:t>
            </a:r>
            <a:endParaRPr lang="pt-BR" sz="1600" b="1" baseline="0">
              <a:solidFill>
                <a:schemeClr val="lt1"/>
              </a:solidFill>
              <a:effectLst/>
              <a:latin typeface="+mj-lt"/>
              <a:ea typeface="+mn-ea"/>
              <a:cs typeface="+mn-cs"/>
            </a:endParaRPr>
          </a:p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pt-BR" sz="1600" b="1" baseline="0">
                <a:solidFill>
                  <a:schemeClr val="lt1"/>
                </a:solidFill>
                <a:effectLst/>
                <a:latin typeface="+mj-lt"/>
                <a:ea typeface="+mn-ea"/>
                <a:cs typeface="+mn-cs"/>
              </a:rPr>
              <a:t>Guidances</a:t>
            </a:r>
            <a:endParaRPr lang="en-US" sz="2400">
              <a:effectLst/>
              <a:latin typeface="+mj-lt"/>
            </a:endParaRPr>
          </a:p>
        </xdr:txBody>
      </xdr:sp>
      <xdr:sp macro="" textlink="">
        <xdr:nvSpPr>
          <xdr:cNvPr id="45" name="Elipse 44">
            <a:extLst>
              <a:ext uri="{FF2B5EF4-FFF2-40B4-BE49-F238E27FC236}">
                <a16:creationId xmlns:a16="http://schemas.microsoft.com/office/drawing/2014/main" id="{4D6BD75A-CE18-241C-B558-009504271605}"/>
              </a:ext>
            </a:extLst>
          </xdr:cNvPr>
          <xdr:cNvSpPr/>
        </xdr:nvSpPr>
        <xdr:spPr>
          <a:xfrm>
            <a:off x="5617028" y="4396168"/>
            <a:ext cx="1056376" cy="965806"/>
          </a:xfrm>
          <a:prstGeom prst="ellips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46" name="Gráfico 8" descr="Tendência ascendente com preenchimento sólido">
            <a:extLst>
              <a:ext uri="{FF2B5EF4-FFF2-40B4-BE49-F238E27FC236}">
                <a16:creationId xmlns:a16="http://schemas.microsoft.com/office/drawing/2014/main" id="{B0E635FA-0B63-07EA-6785-3AEA2759B2C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5"/>
              </a:ext>
            </a:extLst>
          </a:blip>
          <a:stretch>
            <a:fillRect/>
          </a:stretch>
        </xdr:blipFill>
        <xdr:spPr>
          <a:xfrm>
            <a:off x="5907455" y="4600283"/>
            <a:ext cx="552211" cy="532176"/>
          </a:xfrm>
          <a:prstGeom prst="rect">
            <a:avLst/>
          </a:prstGeom>
        </xdr:spPr>
      </xdr:pic>
    </xdr:grpSp>
    <xdr:clientData/>
  </xdr:twoCellAnchor>
  <xdr:twoCellAnchor editAs="oneCell">
    <xdr:from>
      <xdr:col>14</xdr:col>
      <xdr:colOff>165100</xdr:colOff>
      <xdr:row>3</xdr:row>
      <xdr:rowOff>76200</xdr:rowOff>
    </xdr:from>
    <xdr:to>
      <xdr:col>14</xdr:col>
      <xdr:colOff>1275570</xdr:colOff>
      <xdr:row>3</xdr:row>
      <xdr:rowOff>542289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DBDBA1A0-8F01-5EB1-C807-0331569A7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5163800" y="876300"/>
          <a:ext cx="1110470" cy="466089"/>
        </a:xfrm>
        <a:prstGeom prst="rect">
          <a:avLst/>
        </a:prstGeom>
      </xdr:spPr>
    </xdr:pic>
    <xdr:clientData/>
  </xdr:twoCellAnchor>
  <xdr:twoCellAnchor editAs="oneCell">
    <xdr:from>
      <xdr:col>2</xdr:col>
      <xdr:colOff>431800</xdr:colOff>
      <xdr:row>2</xdr:row>
      <xdr:rowOff>50800</xdr:rowOff>
    </xdr:from>
    <xdr:to>
      <xdr:col>3</xdr:col>
      <xdr:colOff>1801492</xdr:colOff>
      <xdr:row>4</xdr:row>
      <xdr:rowOff>101600</xdr:rowOff>
    </xdr:to>
    <xdr:pic>
      <xdr:nvPicPr>
        <xdr:cNvPr id="53" name="Picture 2" descr="CSN Mineração | Genial Analisa">
          <a:extLst>
            <a:ext uri="{FF2B5EF4-FFF2-40B4-BE49-F238E27FC236}">
              <a16:creationId xmlns:a16="http://schemas.microsoft.com/office/drawing/2014/main" id="{1DDAFDFC-FBD2-D84F-6478-25795E4B8E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71" t="4642" r="16325"/>
        <a:stretch/>
      </xdr:blipFill>
      <xdr:spPr bwMode="auto">
        <a:xfrm>
          <a:off x="2552700" y="584200"/>
          <a:ext cx="2753992" cy="1003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103908</xdr:rowOff>
    </xdr:from>
    <xdr:to>
      <xdr:col>0</xdr:col>
      <xdr:colOff>1718201</xdr:colOff>
      <xdr:row>2</xdr:row>
      <xdr:rowOff>125936</xdr:rowOff>
    </xdr:to>
    <xdr:grpSp>
      <xdr:nvGrpSpPr>
        <xdr:cNvPr id="8" name="Agrupar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A1F663-237D-D036-26D6-DB6AC976EF9C}"/>
            </a:ext>
          </a:extLst>
        </xdr:cNvPr>
        <xdr:cNvGrpSpPr/>
      </xdr:nvGrpSpPr>
      <xdr:grpSpPr>
        <a:xfrm>
          <a:off x="0" y="103908"/>
          <a:ext cx="1718201" cy="479228"/>
          <a:chOff x="0" y="103908"/>
          <a:chExt cx="1718201" cy="479654"/>
        </a:xfrm>
      </xdr:grpSpPr>
      <xdr:grpSp>
        <xdr:nvGrpSpPr>
          <xdr:cNvPr id="3" name="Agrupar 2">
            <a:extLst>
              <a:ext uri="{FF2B5EF4-FFF2-40B4-BE49-F238E27FC236}">
                <a16:creationId xmlns:a16="http://schemas.microsoft.com/office/drawing/2014/main" id="{0035C0AF-26F5-5DF7-8822-4A405F685C1F}"/>
              </a:ext>
            </a:extLst>
          </xdr:cNvPr>
          <xdr:cNvGrpSpPr/>
        </xdr:nvGrpSpPr>
        <xdr:grpSpPr>
          <a:xfrm>
            <a:off x="0" y="103908"/>
            <a:ext cx="1718201" cy="479654"/>
            <a:chOff x="5773851" y="1820976"/>
            <a:chExt cx="2515618" cy="828335"/>
          </a:xfrm>
          <a:solidFill>
            <a:srgbClr val="002060"/>
          </a:solidFill>
        </xdr:grpSpPr>
        <xdr:sp macro="" textlink="">
          <xdr:nvSpPr>
            <xdr:cNvPr id="5" name="Retângulo: Cantos Arredondados 4">
              <a:extLst>
                <a:ext uri="{FF2B5EF4-FFF2-40B4-BE49-F238E27FC236}">
                  <a16:creationId xmlns:a16="http://schemas.microsoft.com/office/drawing/2014/main" id="{96C61DE8-BA8C-FE34-4348-2F23C52E3CA5}"/>
                </a:ext>
              </a:extLst>
            </xdr:cNvPr>
            <xdr:cNvSpPr/>
          </xdr:nvSpPr>
          <xdr:spPr>
            <a:xfrm>
              <a:off x="6264401" y="1870743"/>
              <a:ext cx="2025068" cy="766412"/>
            </a:xfrm>
            <a:prstGeom prst="roundRect">
              <a:avLst/>
            </a:prstGeom>
            <a:solidFill>
              <a:schemeClr val="accent3">
                <a:lumMod val="5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r"/>
              <a:r>
                <a:rPr lang="pt-BR" sz="1800" b="0">
                  <a:solidFill>
                    <a:schemeClr val="bg1"/>
                  </a:solidFill>
                  <a:latin typeface="Axiforma Black" panose="00000900000000000000"/>
                </a:rPr>
                <a:t> </a:t>
              </a:r>
              <a:r>
                <a:rPr lang="pt-BR" sz="1200" b="0">
                  <a:solidFill>
                    <a:schemeClr val="bg1"/>
                  </a:solidFill>
                  <a:latin typeface="Century Gothic" panose="020B0502020202020204" pitchFamily="34" charset="0"/>
                </a:rPr>
                <a:t>Voltar / Back</a:t>
              </a:r>
              <a:endParaRPr lang="pt-BR" sz="1800" b="0" baseline="0">
                <a:solidFill>
                  <a:schemeClr val="bg1"/>
                </a:solidFill>
                <a:latin typeface="Century Gothic" panose="020B0502020202020204" pitchFamily="34" charset="0"/>
              </a:endParaRPr>
            </a:p>
          </xdr:txBody>
        </xdr:sp>
        <xdr:sp macro="" textlink="">
          <xdr:nvSpPr>
            <xdr:cNvPr id="6" name="Elipse 5">
              <a:extLst>
                <a:ext uri="{FF2B5EF4-FFF2-40B4-BE49-F238E27FC236}">
                  <a16:creationId xmlns:a16="http://schemas.microsoft.com/office/drawing/2014/main" id="{23B794AA-E630-D34D-00F7-B6AA360EBBD3}"/>
                </a:ext>
              </a:extLst>
            </xdr:cNvPr>
            <xdr:cNvSpPr/>
          </xdr:nvSpPr>
          <xdr:spPr>
            <a:xfrm>
              <a:off x="5773851" y="1820976"/>
              <a:ext cx="873141" cy="828335"/>
            </a:xfrm>
            <a:prstGeom prst="ellipse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rgbClr val="0029A1"/>
                </a:solidFill>
              </a:endParaRPr>
            </a:p>
          </xdr:txBody>
        </xdr:sp>
      </xdr:grpSp>
      <xdr:pic>
        <xdr:nvPicPr>
          <xdr:cNvPr id="4" name="Gráfico 14" descr="Círculo com seta para a esquerda estrutura de tópicos">
            <a:extLst>
              <a:ext uri="{FF2B5EF4-FFF2-40B4-BE49-F238E27FC236}">
                <a16:creationId xmlns:a16="http://schemas.microsoft.com/office/drawing/2014/main" id="{8DE02BD4-EAB7-A356-4CE5-80B4DDD0D8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 flipH="1">
            <a:off x="224476" y="169579"/>
            <a:ext cx="332012" cy="348312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1718201</xdr:colOff>
      <xdr:row>2</xdr:row>
      <xdr:rowOff>22454</xdr:rowOff>
    </xdr:to>
    <xdr:grpSp>
      <xdr:nvGrpSpPr>
        <xdr:cNvPr id="37" name="Agrupar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8EE238-E2F0-4319-8C02-AA95BA4A8C51}"/>
            </a:ext>
          </a:extLst>
        </xdr:cNvPr>
        <xdr:cNvGrpSpPr/>
      </xdr:nvGrpSpPr>
      <xdr:grpSpPr>
        <a:xfrm>
          <a:off x="0" y="0"/>
          <a:ext cx="1718201" cy="479654"/>
          <a:chOff x="0" y="103908"/>
          <a:chExt cx="1718201" cy="479654"/>
        </a:xfrm>
      </xdr:grpSpPr>
      <xdr:grpSp>
        <xdr:nvGrpSpPr>
          <xdr:cNvPr id="38" name="Agrupar 37">
            <a:extLst>
              <a:ext uri="{FF2B5EF4-FFF2-40B4-BE49-F238E27FC236}">
                <a16:creationId xmlns:a16="http://schemas.microsoft.com/office/drawing/2014/main" id="{6B609935-AF34-0031-189A-ACCF7A54AC3C}"/>
              </a:ext>
            </a:extLst>
          </xdr:cNvPr>
          <xdr:cNvGrpSpPr/>
        </xdr:nvGrpSpPr>
        <xdr:grpSpPr>
          <a:xfrm>
            <a:off x="0" y="103908"/>
            <a:ext cx="1718201" cy="479654"/>
            <a:chOff x="5773851" y="1820976"/>
            <a:chExt cx="2515618" cy="828335"/>
          </a:xfrm>
          <a:solidFill>
            <a:srgbClr val="002060"/>
          </a:solidFill>
        </xdr:grpSpPr>
        <xdr:sp macro="" textlink="">
          <xdr:nvSpPr>
            <xdr:cNvPr id="40" name="Retângulo: Cantos Arredondados 39">
              <a:extLst>
                <a:ext uri="{FF2B5EF4-FFF2-40B4-BE49-F238E27FC236}">
                  <a16:creationId xmlns:a16="http://schemas.microsoft.com/office/drawing/2014/main" id="{634FA70D-F406-CE78-4A17-FC11C4DFB6B9}"/>
                </a:ext>
              </a:extLst>
            </xdr:cNvPr>
            <xdr:cNvSpPr/>
          </xdr:nvSpPr>
          <xdr:spPr>
            <a:xfrm>
              <a:off x="6264401" y="1870743"/>
              <a:ext cx="2025068" cy="766412"/>
            </a:xfrm>
            <a:prstGeom prst="roundRect">
              <a:avLst/>
            </a:prstGeom>
            <a:solidFill>
              <a:schemeClr val="accent3">
                <a:lumMod val="5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r"/>
              <a:r>
                <a:rPr lang="pt-BR" sz="1800" b="0">
                  <a:solidFill>
                    <a:schemeClr val="bg1"/>
                  </a:solidFill>
                  <a:latin typeface="Axiforma Black" panose="00000900000000000000"/>
                </a:rPr>
                <a:t> </a:t>
              </a:r>
              <a:r>
                <a:rPr lang="pt-BR" sz="1200" b="0">
                  <a:solidFill>
                    <a:schemeClr val="bg1"/>
                  </a:solidFill>
                  <a:latin typeface="Century Gothic" panose="020B0502020202020204" pitchFamily="34" charset="0"/>
                </a:rPr>
                <a:t>Voltar / Back</a:t>
              </a:r>
              <a:endParaRPr lang="pt-BR" sz="1800" b="0" baseline="0">
                <a:solidFill>
                  <a:schemeClr val="bg1"/>
                </a:solidFill>
                <a:latin typeface="Century Gothic" panose="020B0502020202020204" pitchFamily="34" charset="0"/>
              </a:endParaRPr>
            </a:p>
          </xdr:txBody>
        </xdr:sp>
        <xdr:sp macro="" textlink="">
          <xdr:nvSpPr>
            <xdr:cNvPr id="41" name="Elipse 40">
              <a:extLst>
                <a:ext uri="{FF2B5EF4-FFF2-40B4-BE49-F238E27FC236}">
                  <a16:creationId xmlns:a16="http://schemas.microsoft.com/office/drawing/2014/main" id="{9CDC860D-5C56-0B2E-C877-CA2833B3C0D3}"/>
                </a:ext>
              </a:extLst>
            </xdr:cNvPr>
            <xdr:cNvSpPr/>
          </xdr:nvSpPr>
          <xdr:spPr>
            <a:xfrm>
              <a:off x="5773851" y="1820976"/>
              <a:ext cx="873141" cy="828335"/>
            </a:xfrm>
            <a:prstGeom prst="ellipse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rgbClr val="0029A1"/>
                </a:solidFill>
              </a:endParaRPr>
            </a:p>
          </xdr:txBody>
        </xdr:sp>
      </xdr:grpSp>
      <xdr:pic>
        <xdr:nvPicPr>
          <xdr:cNvPr id="39" name="Gráfico 14" descr="Círculo com seta para a esquerda estrutura de tópicos">
            <a:extLst>
              <a:ext uri="{FF2B5EF4-FFF2-40B4-BE49-F238E27FC236}">
                <a16:creationId xmlns:a16="http://schemas.microsoft.com/office/drawing/2014/main" id="{E017C48D-1364-4E83-D042-E86E8FF6F57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 flipH="1">
            <a:off x="224476" y="169579"/>
            <a:ext cx="332012" cy="348312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69574</xdr:colOff>
      <xdr:row>0</xdr:row>
      <xdr:rowOff>41965</xdr:rowOff>
    </xdr:from>
    <xdr:to>
      <xdr:col>0</xdr:col>
      <xdr:colOff>1787775</xdr:colOff>
      <xdr:row>2</xdr:row>
      <xdr:rowOff>52271</xdr:rowOff>
    </xdr:to>
    <xdr:grpSp>
      <xdr:nvGrpSpPr>
        <xdr:cNvPr id="37" name="Agrupar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C6991E-7F9C-472E-B5E4-64CEDE604E5B}"/>
            </a:ext>
          </a:extLst>
        </xdr:cNvPr>
        <xdr:cNvGrpSpPr/>
      </xdr:nvGrpSpPr>
      <xdr:grpSpPr>
        <a:xfrm>
          <a:off x="69574" y="41965"/>
          <a:ext cx="1718201" cy="479654"/>
          <a:chOff x="0" y="103908"/>
          <a:chExt cx="1718201" cy="479654"/>
        </a:xfrm>
      </xdr:grpSpPr>
      <xdr:grpSp>
        <xdr:nvGrpSpPr>
          <xdr:cNvPr id="38" name="Agrupar 37">
            <a:extLst>
              <a:ext uri="{FF2B5EF4-FFF2-40B4-BE49-F238E27FC236}">
                <a16:creationId xmlns:a16="http://schemas.microsoft.com/office/drawing/2014/main" id="{18FA5D0F-6E0C-DED1-CBAA-92EF184F06A9}"/>
              </a:ext>
            </a:extLst>
          </xdr:cNvPr>
          <xdr:cNvGrpSpPr/>
        </xdr:nvGrpSpPr>
        <xdr:grpSpPr>
          <a:xfrm>
            <a:off x="0" y="103908"/>
            <a:ext cx="1718201" cy="479654"/>
            <a:chOff x="5773851" y="1820976"/>
            <a:chExt cx="2515618" cy="828335"/>
          </a:xfrm>
          <a:solidFill>
            <a:srgbClr val="002060"/>
          </a:solidFill>
        </xdr:grpSpPr>
        <xdr:sp macro="" textlink="">
          <xdr:nvSpPr>
            <xdr:cNvPr id="40" name="Retângulo: Cantos Arredondados 39">
              <a:extLst>
                <a:ext uri="{FF2B5EF4-FFF2-40B4-BE49-F238E27FC236}">
                  <a16:creationId xmlns:a16="http://schemas.microsoft.com/office/drawing/2014/main" id="{0CE43475-1E53-1DF1-F12F-5D29B788B5E9}"/>
                </a:ext>
              </a:extLst>
            </xdr:cNvPr>
            <xdr:cNvSpPr/>
          </xdr:nvSpPr>
          <xdr:spPr>
            <a:xfrm>
              <a:off x="6264401" y="1870743"/>
              <a:ext cx="2025068" cy="766412"/>
            </a:xfrm>
            <a:prstGeom prst="roundRect">
              <a:avLst/>
            </a:prstGeom>
            <a:solidFill>
              <a:schemeClr val="accent3">
                <a:lumMod val="5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r"/>
              <a:r>
                <a:rPr lang="pt-BR" sz="1800" b="0">
                  <a:solidFill>
                    <a:schemeClr val="bg1"/>
                  </a:solidFill>
                  <a:latin typeface="Axiforma Black" panose="00000900000000000000"/>
                </a:rPr>
                <a:t> </a:t>
              </a:r>
              <a:r>
                <a:rPr lang="pt-BR" sz="1200" b="0">
                  <a:solidFill>
                    <a:schemeClr val="bg1"/>
                  </a:solidFill>
                  <a:latin typeface="Century Gothic" panose="020B0502020202020204" pitchFamily="34" charset="0"/>
                </a:rPr>
                <a:t>Voltar / Back</a:t>
              </a:r>
              <a:endParaRPr lang="pt-BR" sz="1800" b="0" baseline="0">
                <a:solidFill>
                  <a:schemeClr val="bg1"/>
                </a:solidFill>
                <a:latin typeface="Century Gothic" panose="020B0502020202020204" pitchFamily="34" charset="0"/>
              </a:endParaRPr>
            </a:p>
          </xdr:txBody>
        </xdr:sp>
        <xdr:sp macro="" textlink="">
          <xdr:nvSpPr>
            <xdr:cNvPr id="41" name="Elipse 40">
              <a:extLst>
                <a:ext uri="{FF2B5EF4-FFF2-40B4-BE49-F238E27FC236}">
                  <a16:creationId xmlns:a16="http://schemas.microsoft.com/office/drawing/2014/main" id="{D8BE2E77-F230-076D-FE86-7647E239217C}"/>
                </a:ext>
              </a:extLst>
            </xdr:cNvPr>
            <xdr:cNvSpPr/>
          </xdr:nvSpPr>
          <xdr:spPr>
            <a:xfrm>
              <a:off x="5773851" y="1820976"/>
              <a:ext cx="873141" cy="828335"/>
            </a:xfrm>
            <a:prstGeom prst="ellipse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rgbClr val="0029A1"/>
                </a:solidFill>
              </a:endParaRPr>
            </a:p>
          </xdr:txBody>
        </xdr:sp>
      </xdr:grpSp>
      <xdr:pic>
        <xdr:nvPicPr>
          <xdr:cNvPr id="39" name="Gráfico 14" descr="Círculo com seta para a esquerda estrutura de tópicos">
            <a:extLst>
              <a:ext uri="{FF2B5EF4-FFF2-40B4-BE49-F238E27FC236}">
                <a16:creationId xmlns:a16="http://schemas.microsoft.com/office/drawing/2014/main" id="{3A2BEA1D-B6F8-55B4-F5C0-AE541F195F3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 flipH="1">
            <a:off x="224476" y="169579"/>
            <a:ext cx="332012" cy="348312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103908</xdr:rowOff>
    </xdr:from>
    <xdr:to>
      <xdr:col>0</xdr:col>
      <xdr:colOff>1718201</xdr:colOff>
      <xdr:row>2</xdr:row>
      <xdr:rowOff>125936</xdr:rowOff>
    </xdr:to>
    <xdr:grpSp>
      <xdr:nvGrpSpPr>
        <xdr:cNvPr id="7" name="Agrupar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506556-F2C4-593A-AE58-228DBB932967}"/>
            </a:ext>
          </a:extLst>
        </xdr:cNvPr>
        <xdr:cNvGrpSpPr/>
      </xdr:nvGrpSpPr>
      <xdr:grpSpPr>
        <a:xfrm>
          <a:off x="0" y="103908"/>
          <a:ext cx="1718201" cy="483239"/>
          <a:chOff x="0" y="103908"/>
          <a:chExt cx="1718201" cy="484671"/>
        </a:xfrm>
      </xdr:grpSpPr>
      <xdr:grpSp>
        <xdr:nvGrpSpPr>
          <xdr:cNvPr id="3" name="Agrupar 2">
            <a:extLst>
              <a:ext uri="{FF2B5EF4-FFF2-40B4-BE49-F238E27FC236}">
                <a16:creationId xmlns:a16="http://schemas.microsoft.com/office/drawing/2014/main" id="{5DA06077-887F-5D6D-4E0A-45EEBFD961E2}"/>
              </a:ext>
            </a:extLst>
          </xdr:cNvPr>
          <xdr:cNvGrpSpPr/>
        </xdr:nvGrpSpPr>
        <xdr:grpSpPr>
          <a:xfrm>
            <a:off x="0" y="103908"/>
            <a:ext cx="1718201" cy="484671"/>
            <a:chOff x="5773851" y="1820976"/>
            <a:chExt cx="2515618" cy="828335"/>
          </a:xfrm>
          <a:solidFill>
            <a:srgbClr val="002060"/>
          </a:solidFill>
        </xdr:grpSpPr>
        <xdr:sp macro="" textlink="">
          <xdr:nvSpPr>
            <xdr:cNvPr id="5" name="Retângulo: Cantos Arredondados 4">
              <a:extLst>
                <a:ext uri="{FF2B5EF4-FFF2-40B4-BE49-F238E27FC236}">
                  <a16:creationId xmlns:a16="http://schemas.microsoft.com/office/drawing/2014/main" id="{FCE8170C-E3E7-3AE7-F516-74490F4C9C76}"/>
                </a:ext>
              </a:extLst>
            </xdr:cNvPr>
            <xdr:cNvSpPr/>
          </xdr:nvSpPr>
          <xdr:spPr>
            <a:xfrm>
              <a:off x="6264401" y="1870743"/>
              <a:ext cx="2025068" cy="766412"/>
            </a:xfrm>
            <a:prstGeom prst="roundRect">
              <a:avLst/>
            </a:prstGeom>
            <a:solidFill>
              <a:schemeClr val="accent3">
                <a:lumMod val="5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r"/>
              <a:r>
                <a:rPr lang="pt-BR" sz="1800" b="0">
                  <a:solidFill>
                    <a:schemeClr val="bg1"/>
                  </a:solidFill>
                  <a:latin typeface="Axiforma Black" panose="00000900000000000000"/>
                </a:rPr>
                <a:t> </a:t>
              </a:r>
              <a:r>
                <a:rPr lang="pt-BR" sz="1200" b="0">
                  <a:solidFill>
                    <a:schemeClr val="bg1"/>
                  </a:solidFill>
                  <a:latin typeface="Century Gothic" panose="020B0502020202020204" pitchFamily="34" charset="0"/>
                </a:rPr>
                <a:t>Voltar / Back</a:t>
              </a:r>
              <a:endParaRPr lang="pt-BR" sz="1800" b="0" baseline="0">
                <a:solidFill>
                  <a:schemeClr val="bg1"/>
                </a:solidFill>
                <a:latin typeface="Century Gothic" panose="020B0502020202020204" pitchFamily="34" charset="0"/>
              </a:endParaRPr>
            </a:p>
          </xdr:txBody>
        </xdr:sp>
        <xdr:sp macro="" textlink="">
          <xdr:nvSpPr>
            <xdr:cNvPr id="6" name="Elipse 5">
              <a:extLst>
                <a:ext uri="{FF2B5EF4-FFF2-40B4-BE49-F238E27FC236}">
                  <a16:creationId xmlns:a16="http://schemas.microsoft.com/office/drawing/2014/main" id="{DD97BF51-5473-305F-B899-619D4CFF6EB2}"/>
                </a:ext>
              </a:extLst>
            </xdr:cNvPr>
            <xdr:cNvSpPr/>
          </xdr:nvSpPr>
          <xdr:spPr>
            <a:xfrm>
              <a:off x="5773851" y="1820976"/>
              <a:ext cx="873141" cy="828335"/>
            </a:xfrm>
            <a:prstGeom prst="ellipse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rgbClr val="0029A1"/>
                </a:solidFill>
              </a:endParaRPr>
            </a:p>
          </xdr:txBody>
        </xdr:sp>
      </xdr:grpSp>
      <xdr:pic>
        <xdr:nvPicPr>
          <xdr:cNvPr id="4" name="Gráfico 14" descr="Círculo com seta para a esquerda estrutura de tópicos">
            <a:extLst>
              <a:ext uri="{FF2B5EF4-FFF2-40B4-BE49-F238E27FC236}">
                <a16:creationId xmlns:a16="http://schemas.microsoft.com/office/drawing/2014/main" id="{59B98359-408C-8E1A-4413-4E0B739A2D4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 flipH="1">
            <a:off x="224476" y="170324"/>
            <a:ext cx="332012" cy="351837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1718201</xdr:colOff>
      <xdr:row>2</xdr:row>
      <xdr:rowOff>22454</xdr:rowOff>
    </xdr:to>
    <xdr:grpSp>
      <xdr:nvGrpSpPr>
        <xdr:cNvPr id="17" name="Agrupar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B53D0A-B764-45B8-8EE2-05AA33AD3C19}"/>
            </a:ext>
          </a:extLst>
        </xdr:cNvPr>
        <xdr:cNvGrpSpPr/>
      </xdr:nvGrpSpPr>
      <xdr:grpSpPr>
        <a:xfrm>
          <a:off x="0" y="0"/>
          <a:ext cx="1718201" cy="479654"/>
          <a:chOff x="0" y="103908"/>
          <a:chExt cx="1718201" cy="479654"/>
        </a:xfrm>
      </xdr:grpSpPr>
      <xdr:grpSp>
        <xdr:nvGrpSpPr>
          <xdr:cNvPr id="18" name="Agrupar 17">
            <a:extLst>
              <a:ext uri="{FF2B5EF4-FFF2-40B4-BE49-F238E27FC236}">
                <a16:creationId xmlns:a16="http://schemas.microsoft.com/office/drawing/2014/main" id="{F40074A7-BDB6-0141-C5DF-AF2ECA1FC8E4}"/>
              </a:ext>
            </a:extLst>
          </xdr:cNvPr>
          <xdr:cNvGrpSpPr/>
        </xdr:nvGrpSpPr>
        <xdr:grpSpPr>
          <a:xfrm>
            <a:off x="0" y="103908"/>
            <a:ext cx="1718201" cy="479654"/>
            <a:chOff x="5773851" y="1820976"/>
            <a:chExt cx="2515618" cy="828335"/>
          </a:xfrm>
          <a:solidFill>
            <a:srgbClr val="002060"/>
          </a:solidFill>
        </xdr:grpSpPr>
        <xdr:sp macro="" textlink="">
          <xdr:nvSpPr>
            <xdr:cNvPr id="20" name="Retângulo: Cantos Arredondados 19">
              <a:extLst>
                <a:ext uri="{FF2B5EF4-FFF2-40B4-BE49-F238E27FC236}">
                  <a16:creationId xmlns:a16="http://schemas.microsoft.com/office/drawing/2014/main" id="{63C7138D-9747-267B-B59A-703E60C22131}"/>
                </a:ext>
              </a:extLst>
            </xdr:cNvPr>
            <xdr:cNvSpPr/>
          </xdr:nvSpPr>
          <xdr:spPr>
            <a:xfrm>
              <a:off x="6264401" y="1870743"/>
              <a:ext cx="2025068" cy="766412"/>
            </a:xfrm>
            <a:prstGeom prst="roundRect">
              <a:avLst/>
            </a:prstGeom>
            <a:solidFill>
              <a:schemeClr val="accent3">
                <a:lumMod val="5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r"/>
              <a:r>
                <a:rPr lang="pt-BR" sz="1800" b="0">
                  <a:solidFill>
                    <a:schemeClr val="bg1"/>
                  </a:solidFill>
                  <a:latin typeface="Axiforma Black" panose="00000900000000000000"/>
                </a:rPr>
                <a:t> </a:t>
              </a:r>
              <a:r>
                <a:rPr lang="pt-BR" sz="1200" b="0">
                  <a:solidFill>
                    <a:schemeClr val="bg1"/>
                  </a:solidFill>
                  <a:latin typeface="Century Gothic" panose="020B0502020202020204" pitchFamily="34" charset="0"/>
                </a:rPr>
                <a:t>Voltar / Back</a:t>
              </a:r>
              <a:endParaRPr lang="pt-BR" sz="1800" b="0" baseline="0">
                <a:solidFill>
                  <a:schemeClr val="bg1"/>
                </a:solidFill>
                <a:latin typeface="Century Gothic" panose="020B0502020202020204" pitchFamily="34" charset="0"/>
              </a:endParaRPr>
            </a:p>
          </xdr:txBody>
        </xdr:sp>
        <xdr:sp macro="" textlink="">
          <xdr:nvSpPr>
            <xdr:cNvPr id="21" name="Elipse 20">
              <a:extLst>
                <a:ext uri="{FF2B5EF4-FFF2-40B4-BE49-F238E27FC236}">
                  <a16:creationId xmlns:a16="http://schemas.microsoft.com/office/drawing/2014/main" id="{790D0157-08DE-5A29-1180-53E3AEF64FA5}"/>
                </a:ext>
              </a:extLst>
            </xdr:cNvPr>
            <xdr:cNvSpPr/>
          </xdr:nvSpPr>
          <xdr:spPr>
            <a:xfrm>
              <a:off x="5773851" y="1820976"/>
              <a:ext cx="873141" cy="828335"/>
            </a:xfrm>
            <a:prstGeom prst="ellipse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rgbClr val="0029A1"/>
                </a:solidFill>
              </a:endParaRPr>
            </a:p>
          </xdr:txBody>
        </xdr:sp>
      </xdr:grpSp>
      <xdr:pic>
        <xdr:nvPicPr>
          <xdr:cNvPr id="19" name="Gráfico 14" descr="Círculo com seta para a esquerda estrutura de tópicos">
            <a:extLst>
              <a:ext uri="{FF2B5EF4-FFF2-40B4-BE49-F238E27FC236}">
                <a16:creationId xmlns:a16="http://schemas.microsoft.com/office/drawing/2014/main" id="{BDCD5F78-5C79-6ADA-A414-66ACBB55ED9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 flipH="1">
            <a:off x="224476" y="169579"/>
            <a:ext cx="332012" cy="348312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1718201</xdr:colOff>
      <xdr:row>2</xdr:row>
      <xdr:rowOff>22454</xdr:rowOff>
    </xdr:to>
    <xdr:grpSp>
      <xdr:nvGrpSpPr>
        <xdr:cNvPr id="17" name="Agrupar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7DC247-4F9D-47C7-9A11-FF5C9AFEB441}"/>
            </a:ext>
          </a:extLst>
        </xdr:cNvPr>
        <xdr:cNvGrpSpPr/>
      </xdr:nvGrpSpPr>
      <xdr:grpSpPr>
        <a:xfrm>
          <a:off x="0" y="0"/>
          <a:ext cx="1718201" cy="485097"/>
          <a:chOff x="0" y="103908"/>
          <a:chExt cx="1718201" cy="479654"/>
        </a:xfrm>
      </xdr:grpSpPr>
      <xdr:grpSp>
        <xdr:nvGrpSpPr>
          <xdr:cNvPr id="18" name="Agrupar 17">
            <a:extLst>
              <a:ext uri="{FF2B5EF4-FFF2-40B4-BE49-F238E27FC236}">
                <a16:creationId xmlns:a16="http://schemas.microsoft.com/office/drawing/2014/main" id="{2AA56110-869C-C592-4D40-FA93BDCE9B43}"/>
              </a:ext>
            </a:extLst>
          </xdr:cNvPr>
          <xdr:cNvGrpSpPr/>
        </xdr:nvGrpSpPr>
        <xdr:grpSpPr>
          <a:xfrm>
            <a:off x="0" y="103908"/>
            <a:ext cx="1718201" cy="479654"/>
            <a:chOff x="5773851" y="1820976"/>
            <a:chExt cx="2515618" cy="828335"/>
          </a:xfrm>
          <a:solidFill>
            <a:srgbClr val="002060"/>
          </a:solidFill>
        </xdr:grpSpPr>
        <xdr:sp macro="" textlink="">
          <xdr:nvSpPr>
            <xdr:cNvPr id="20" name="Retângulo: Cantos Arredondados 19">
              <a:extLst>
                <a:ext uri="{FF2B5EF4-FFF2-40B4-BE49-F238E27FC236}">
                  <a16:creationId xmlns:a16="http://schemas.microsoft.com/office/drawing/2014/main" id="{59F0BFEC-5040-76BB-C7B9-EA424BC50172}"/>
                </a:ext>
              </a:extLst>
            </xdr:cNvPr>
            <xdr:cNvSpPr/>
          </xdr:nvSpPr>
          <xdr:spPr>
            <a:xfrm>
              <a:off x="6264401" y="1870743"/>
              <a:ext cx="2025068" cy="766412"/>
            </a:xfrm>
            <a:prstGeom prst="roundRect">
              <a:avLst/>
            </a:prstGeom>
            <a:solidFill>
              <a:schemeClr val="accent3">
                <a:lumMod val="5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r"/>
              <a:r>
                <a:rPr lang="pt-BR" sz="1800" b="0">
                  <a:solidFill>
                    <a:schemeClr val="bg1"/>
                  </a:solidFill>
                  <a:latin typeface="Axiforma Black" panose="00000900000000000000"/>
                </a:rPr>
                <a:t> </a:t>
              </a:r>
              <a:r>
                <a:rPr lang="pt-BR" sz="1200" b="0">
                  <a:solidFill>
                    <a:schemeClr val="bg1"/>
                  </a:solidFill>
                  <a:latin typeface="Century Gothic" panose="020B0502020202020204" pitchFamily="34" charset="0"/>
                </a:rPr>
                <a:t>Voltar / Back</a:t>
              </a:r>
              <a:endParaRPr lang="pt-BR" sz="1800" b="0" baseline="0">
                <a:solidFill>
                  <a:schemeClr val="bg1"/>
                </a:solidFill>
                <a:latin typeface="Century Gothic" panose="020B0502020202020204" pitchFamily="34" charset="0"/>
              </a:endParaRPr>
            </a:p>
          </xdr:txBody>
        </xdr:sp>
        <xdr:sp macro="" textlink="">
          <xdr:nvSpPr>
            <xdr:cNvPr id="21" name="Elipse 20">
              <a:extLst>
                <a:ext uri="{FF2B5EF4-FFF2-40B4-BE49-F238E27FC236}">
                  <a16:creationId xmlns:a16="http://schemas.microsoft.com/office/drawing/2014/main" id="{E1894AE4-604D-0ACB-88A1-E9FA239C6E3F}"/>
                </a:ext>
              </a:extLst>
            </xdr:cNvPr>
            <xdr:cNvSpPr/>
          </xdr:nvSpPr>
          <xdr:spPr>
            <a:xfrm>
              <a:off x="5773851" y="1820976"/>
              <a:ext cx="873141" cy="828335"/>
            </a:xfrm>
            <a:prstGeom prst="ellipse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rgbClr val="0029A1"/>
                </a:solidFill>
              </a:endParaRPr>
            </a:p>
          </xdr:txBody>
        </xdr:sp>
      </xdr:grpSp>
      <xdr:pic>
        <xdr:nvPicPr>
          <xdr:cNvPr id="19" name="Gráfico 14" descr="Círculo com seta para a esquerda estrutura de tópicos">
            <a:extLst>
              <a:ext uri="{FF2B5EF4-FFF2-40B4-BE49-F238E27FC236}">
                <a16:creationId xmlns:a16="http://schemas.microsoft.com/office/drawing/2014/main" id="{280076D8-CE9C-2D6A-77B9-ED10B2C7714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 flipH="1">
            <a:off x="224476" y="169579"/>
            <a:ext cx="332012" cy="348312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csnsparq1\Rel-Investidores\COMPANHIA%20SIDERURGICA%20NACIONAL\Release\2025\4T25\05%20-%20Guia%20de%20Modelagem\Guia%20de%20Modalegem%20-%20CSN%202025.xlsx" TargetMode="External"/><Relationship Id="rId1" Type="http://schemas.openxmlformats.org/officeDocument/2006/relationships/externalLinkPath" Target="file:///\\csnsparq1\Rel-Investidores\COMPANHIA%20SIDERURGICA%20NACIONAL\Release\2025\4T25\05%20-%20Guia%20de%20Modelagem\Guia%20de%20Modalegem%20-%20CSN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SP9518\Downloads\balanco_tris.xlsx" TargetMode="External"/><Relationship Id="rId1" Type="http://schemas.openxmlformats.org/officeDocument/2006/relationships/externalLinkPath" Target="file:///C:\Users\CSP9518\Downloads\balanco_tris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CMIN/Mascara%20-%20Release%20CMIN.xlsx" TargetMode="External"/><Relationship Id="rId2" Type="http://schemas.openxmlformats.org/officeDocument/2006/relationships/externalLinkPath" Target="https://csno365.sharepoint.com/sites/GernciadeRelaescomInvestidores-DivulgaodeResultados/Shared%20Documents/CMIN/Mascara%20-%20Release%20CMIN.xlsx" TargetMode="External"/><Relationship Id="rId1" Type="http://schemas.openxmlformats.org/officeDocument/2006/relationships/externalLinkPath" Target="/sites/GernciadeRelaescomInvestidores-DivulgaodeResultados/Shared%20Documents/CMIN/Mascara%20-%20Release%20CM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nu"/>
      <sheetName val="Destaques | Highlights"/>
      <sheetName val="Bal Patrimonial | Balance Sheet"/>
      <sheetName val="DRE | Income Statement"/>
      <sheetName val="Fluxo de Caixa | Cash Flow"/>
      <sheetName val="Indicadores | Indicators"/>
      <sheetName val="Guidance"/>
      <sheetName val="Dívida | Debt"/>
      <sheetName val="Resul Segmentos |Result BU"/>
      <sheetName val="Siderurgia | Steel"/>
      <sheetName val="Mineração | Mining"/>
      <sheetName val="Cimentos | Cement"/>
      <sheetName val="Logistica | Logistics"/>
    </sheetNames>
    <sheetDataSet>
      <sheetData sheetId="0" refreshError="1">
        <row r="7">
          <cell r="D7" t="str">
            <v>Inglês/English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50">
          <cell r="B50">
            <v>7473980</v>
          </cell>
          <cell r="C50">
            <v>7473980</v>
          </cell>
        </row>
        <row r="51">
          <cell r="B51">
            <v>127042</v>
          </cell>
          <cell r="C51">
            <v>127042</v>
          </cell>
        </row>
        <row r="52">
          <cell r="C52">
            <v>3240661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mentários"/>
      <sheetName val="Menu"/>
      <sheetName val="1. Destaques"/>
      <sheetName val="1. Highlights"/>
      <sheetName val="2. Resultado Financeiro"/>
      <sheetName val="2. Financial Results"/>
      <sheetName val="3. EBITDA Ajustado"/>
      <sheetName val="3. Adjusted EBITDA"/>
      <sheetName val="4. FCL"/>
      <sheetName val="5. Build-up Dívida Líquida"/>
      <sheetName val="5. Endividamento"/>
      <sheetName val="6. Cronograma de Amortização"/>
      <sheetName val="7. Exposição Cambial"/>
      <sheetName val="7. FX Expouse"/>
      <sheetName val="8. Investimentos"/>
      <sheetName val="9. CCL"/>
      <sheetName val="9. NWC"/>
      <sheetName val="10. DRE"/>
      <sheetName val="10. Income Statement"/>
      <sheetName val="11.Balanço"/>
      <sheetName val="11.Balance"/>
      <sheetName val="12. DFC"/>
      <sheetName val="12. CF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 t="str">
            <v>FLUXO DE CAIXA CONSOLIDADO
Legislação Societária (milhares de reais )</v>
          </cell>
        </row>
        <row r="2">
          <cell r="AV2" t="str">
            <v>2T26</v>
          </cell>
        </row>
        <row r="4">
          <cell r="B4" t="str">
            <v>Fluxo de Caixa líquido das Atividades Operacionais</v>
          </cell>
          <cell r="AV4">
            <v>119254</v>
          </cell>
        </row>
        <row r="6">
          <cell r="B6" t="str">
            <v>Lucro líquido do período</v>
          </cell>
          <cell r="AV6">
            <v>219887</v>
          </cell>
        </row>
        <row r="7">
          <cell r="B7" t="str">
            <v>Resultado de não controladoes</v>
          </cell>
          <cell r="AV7">
            <v>251</v>
          </cell>
        </row>
        <row r="8">
          <cell r="B8" t="str">
            <v>Resultado de equivalência patrimonial</v>
          </cell>
          <cell r="AV8">
            <v>-82621</v>
          </cell>
        </row>
        <row r="9">
          <cell r="B9" t="str">
            <v>Variações cambiais e monetárias</v>
          </cell>
          <cell r="AV9">
            <v>96739</v>
          </cell>
        </row>
        <row r="10">
          <cell r="B10" t="str">
            <v>Despesa de juros sobre empréstimos e financiamentos</v>
          </cell>
          <cell r="AV10">
            <v>113761</v>
          </cell>
        </row>
        <row r="11">
          <cell r="B11" t="str">
            <v>Juros capitalizados</v>
          </cell>
          <cell r="AV11">
            <v>-73487</v>
          </cell>
        </row>
        <row r="12">
          <cell r="B12" t="str">
            <v xml:space="preserve">Juros de arrendamentos </v>
          </cell>
          <cell r="AV12">
            <v>3697</v>
          </cell>
        </row>
        <row r="13">
          <cell r="B13" t="str">
            <v>Perdas com instrumento derivativo</v>
          </cell>
          <cell r="AV13">
            <v>-83841</v>
          </cell>
        </row>
        <row r="14">
          <cell r="B14" t="str">
            <v>Amortização custo de transação</v>
          </cell>
          <cell r="AV14">
            <v>14317</v>
          </cell>
        </row>
        <row r="15">
          <cell r="B15" t="str">
            <v>Depreciações e amortizações</v>
          </cell>
          <cell r="AV15">
            <v>358747</v>
          </cell>
        </row>
        <row r="16">
          <cell r="B16" t="str">
            <v>Imposto de renda e contribuição social correntes e diferidos</v>
          </cell>
          <cell r="AV16">
            <v>52599</v>
          </cell>
        </row>
        <row r="17">
          <cell r="B17" t="str">
            <v>Resultado na baixa ou alienação de bens</v>
          </cell>
          <cell r="AV17">
            <v>9985</v>
          </cell>
        </row>
        <row r="18">
          <cell r="B18" t="str">
            <v>Outros</v>
          </cell>
          <cell r="AV18">
            <v>-24858</v>
          </cell>
        </row>
        <row r="20">
          <cell r="B20" t="str">
            <v>Variação dos ativos e passivos</v>
          </cell>
          <cell r="AV20">
            <v>-401568</v>
          </cell>
        </row>
        <row r="21">
          <cell r="B21" t="str">
            <v>Contas a receber de clientes</v>
          </cell>
          <cell r="AV21">
            <v>368539</v>
          </cell>
        </row>
        <row r="22">
          <cell r="B22" t="str">
            <v>Estoques</v>
          </cell>
          <cell r="AV22">
            <v>-45532</v>
          </cell>
        </row>
        <row r="23">
          <cell r="B23" t="str">
            <v>Tributos a recuperar</v>
          </cell>
          <cell r="AV23">
            <v>-198075</v>
          </cell>
        </row>
        <row r="24">
          <cell r="B24" t="str">
            <v>Outros ativos</v>
          </cell>
          <cell r="AV24">
            <v>5873</v>
          </cell>
        </row>
        <row r="25">
          <cell r="B25" t="str">
            <v xml:space="preserve">Adiantamento Fornecedor - CSN </v>
          </cell>
          <cell r="AV25">
            <v>46792</v>
          </cell>
        </row>
        <row r="26">
          <cell r="B26" t="str">
            <v>Fornecedores</v>
          </cell>
          <cell r="AV26">
            <v>458429</v>
          </cell>
        </row>
        <row r="27">
          <cell r="B27" t="str">
            <v>Salários, provisões e contribuições sociais</v>
          </cell>
          <cell r="AV27">
            <v>20190</v>
          </cell>
        </row>
        <row r="28">
          <cell r="B28" t="str">
            <v>Tributos a recolher</v>
          </cell>
          <cell r="AV28">
            <v>-27398</v>
          </cell>
        </row>
        <row r="29">
          <cell r="B29" t="str">
            <v xml:space="preserve">Adiantamento Cliente - Minério de Ferro </v>
          </cell>
          <cell r="AV29">
            <v>-1090787</v>
          </cell>
        </row>
        <row r="30">
          <cell r="B30" t="str">
            <v>Adiantamento - Contratos de Energia</v>
          </cell>
          <cell r="AV30">
            <v>-15537</v>
          </cell>
        </row>
        <row r="31">
          <cell r="B31" t="str">
            <v>Outras contas a pagar</v>
          </cell>
          <cell r="AV31">
            <v>262929</v>
          </cell>
        </row>
        <row r="32">
          <cell r="B32" t="str">
            <v xml:space="preserve">Fornecedores risco sacado </v>
          </cell>
          <cell r="AV32">
            <v>-186991</v>
          </cell>
        </row>
        <row r="33">
          <cell r="B33" t="str">
            <v xml:space="preserve">Adiantamento partes relacionadas </v>
          </cell>
        </row>
        <row r="34">
          <cell r="B34" t="str">
            <v>Hedge accounting de fluxo de caixa</v>
          </cell>
        </row>
        <row r="36">
          <cell r="B36" t="str">
            <v>Outros pagamentos e recebimentos</v>
          </cell>
          <cell r="AV36">
            <v>-84354</v>
          </cell>
        </row>
        <row r="37">
          <cell r="B37" t="str">
            <v>Recebimento de operações derivativas</v>
          </cell>
          <cell r="AV37">
            <v>113955</v>
          </cell>
        </row>
        <row r="38">
          <cell r="B38" t="str">
            <v>Dividendos recebidos MRS</v>
          </cell>
        </row>
        <row r="39">
          <cell r="B39" t="str">
            <v xml:space="preserve">Imposto de renda e contribuição social pagos </v>
          </cell>
          <cell r="AV39">
            <v>-56163</v>
          </cell>
        </row>
        <row r="40">
          <cell r="B40" t="str">
            <v>Juros pagos sobre empréstimos e financiamentos</v>
          </cell>
          <cell r="AV40">
            <v>-142146</v>
          </cell>
        </row>
        <row r="42">
          <cell r="B42" t="str">
            <v>Fluxo de Caixa das Atividades de Investimentos</v>
          </cell>
          <cell r="AV42">
            <v>-652096</v>
          </cell>
        </row>
        <row r="44">
          <cell r="B44" t="str">
            <v>Aquisição de participação em controladas, coligadas ou joint ventures</v>
          </cell>
        </row>
        <row r="45">
          <cell r="B45" t="str">
            <v>Aquisição de ativos imobilizados</v>
          </cell>
          <cell r="AV45">
            <v>-651554</v>
          </cell>
        </row>
        <row r="46">
          <cell r="B46" t="str">
            <v xml:space="preserve">Aplicações financeiras </v>
          </cell>
          <cell r="AV46">
            <v>-542</v>
          </cell>
        </row>
        <row r="47">
          <cell r="B47" t="str">
            <v>Caixa recebido na aquisição da Chapeco</v>
          </cell>
        </row>
        <row r="48">
          <cell r="B48" t="str">
            <v>Aquisição da Cia Energética Chapeco</v>
          </cell>
        </row>
        <row r="50">
          <cell r="B50" t="str">
            <v>Fluxo de Caixa das Atividades de Financiamento</v>
          </cell>
          <cell r="AV50">
            <v>-417726</v>
          </cell>
        </row>
        <row r="52">
          <cell r="B52" t="str">
            <v>Pagamento do principal sobre empréstimos</v>
          </cell>
          <cell r="AV52">
            <v>-262318</v>
          </cell>
        </row>
        <row r="53">
          <cell r="B53" t="str">
            <v>Pré pagamento de minério de ferro</v>
          </cell>
        </row>
        <row r="54">
          <cell r="B54" t="str">
            <v>Amortização de pré-pagamento de minério de ferro</v>
          </cell>
        </row>
        <row r="55">
          <cell r="B55" t="str">
            <v>Captações</v>
          </cell>
        </row>
        <row r="56">
          <cell r="B56" t="str">
            <v>Emissão primaria de ações</v>
          </cell>
        </row>
        <row r="57">
          <cell r="B57" t="str">
            <v>Custo de transação</v>
          </cell>
        </row>
        <row r="58">
          <cell r="B58" t="str">
            <v>Dividendos pagos</v>
          </cell>
        </row>
        <row r="59">
          <cell r="B59" t="str">
            <v>Juros de Capital Proprio</v>
          </cell>
        </row>
        <row r="60">
          <cell r="B60" t="str">
            <v>Passivos de arrendamentos</v>
          </cell>
          <cell r="AV60">
            <v>-26887</v>
          </cell>
        </row>
        <row r="61">
          <cell r="B61" t="str">
            <v xml:space="preserve">Recompra da ações </v>
          </cell>
          <cell r="AV61">
            <v>-128521</v>
          </cell>
        </row>
        <row r="63">
          <cell r="B63" t="str">
            <v>Variação Cambial sobre caixa e equivalentes de Caixa</v>
          </cell>
          <cell r="AV63">
            <v>28355</v>
          </cell>
        </row>
        <row r="65">
          <cell r="B65" t="str">
            <v>Aumento (Redução) do Caixa e Equivalentes de Caixa</v>
          </cell>
          <cell r="AV65">
            <v>-922213</v>
          </cell>
        </row>
        <row r="66">
          <cell r="B66" t="str">
            <v>Caixa e equivalentes de caixa no início do período</v>
          </cell>
          <cell r="AV66">
            <v>8842373</v>
          </cell>
        </row>
        <row r="67">
          <cell r="B67" t="str">
            <v>Caixa e equivalentes de caixa no fim do período</v>
          </cell>
          <cell r="AV67">
            <v>7920160</v>
          </cell>
        </row>
        <row r="69">
          <cell r="B69" t="str">
            <v>Menu</v>
          </cell>
        </row>
      </sheetData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5D515-396C-454B-9E4D-9CB761187C0A}">
  <sheetPr>
    <tabColor theme="6" tint="-0.499984740745262"/>
  </sheetPr>
  <dimension ref="A1:AM38"/>
  <sheetViews>
    <sheetView showGridLines="0" tabSelected="1" zoomScale="75" zoomScaleNormal="75" zoomScaleSheetLayoutView="50" workbookViewId="0">
      <selection activeCell="B1" sqref="B1"/>
    </sheetView>
  </sheetViews>
  <sheetFormatPr defaultColWidth="20.7109375" defaultRowHeight="15" x14ac:dyDescent="0.25"/>
  <cols>
    <col min="1" max="1" width="11" style="3" customWidth="1"/>
    <col min="2" max="2" width="20.7109375" style="3"/>
    <col min="3" max="3" width="20.7109375" style="3" customWidth="1"/>
    <col min="4" max="4" width="32.42578125" style="3" customWidth="1"/>
    <col min="5" max="8" width="20.7109375" style="3"/>
    <col min="9" max="9" width="36.140625" style="3" customWidth="1"/>
    <col min="10" max="10" width="20.7109375" style="3"/>
    <col min="11" max="14" width="0" style="3" hidden="1" customWidth="1"/>
    <col min="15" max="16" width="20.7109375" style="3"/>
    <col min="17" max="17" width="53" style="6" hidden="1" customWidth="1"/>
    <col min="18" max="16384" width="20.7109375" style="3"/>
  </cols>
  <sheetData>
    <row r="1" spans="1:39" ht="21" x14ac:dyDescent="0.35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Q1" s="4" t="s">
        <v>0</v>
      </c>
      <c r="R1" s="5"/>
    </row>
    <row r="2" spans="1:39" ht="21" x14ac:dyDescent="0.35">
      <c r="A2" s="1"/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  <c r="O2" s="2"/>
      <c r="Q2" s="4" t="s">
        <v>1</v>
      </c>
      <c r="R2" s="5"/>
    </row>
    <row r="3" spans="1:39" ht="21" x14ac:dyDescent="0.35">
      <c r="A3" s="1"/>
      <c r="B3" s="1"/>
      <c r="C3" s="1"/>
      <c r="D3" s="1"/>
      <c r="E3" s="1"/>
      <c r="F3" s="1"/>
      <c r="G3" s="1"/>
      <c r="H3" s="1"/>
      <c r="I3" s="1"/>
      <c r="J3" s="2"/>
      <c r="K3" s="2"/>
      <c r="L3" s="2"/>
      <c r="M3" s="2"/>
      <c r="N3" s="2"/>
      <c r="O3" s="2"/>
      <c r="Q3" s="4"/>
      <c r="R3" s="5"/>
    </row>
    <row r="4" spans="1:39" ht="54" x14ac:dyDescent="0.35">
      <c r="A4" s="1"/>
      <c r="B4" s="1"/>
      <c r="C4" s="1"/>
      <c r="D4" s="1"/>
      <c r="E4" s="40" t="str">
        <f>IF(D7=Q1,Q4,Q5)</f>
        <v>Informações Financeiras e Operacionais</v>
      </c>
      <c r="F4" s="1"/>
      <c r="G4" s="1"/>
      <c r="H4" s="1"/>
      <c r="I4" s="1"/>
      <c r="J4" s="2"/>
      <c r="K4" s="2"/>
      <c r="L4" s="2"/>
      <c r="M4" s="2"/>
      <c r="N4" s="2"/>
      <c r="O4" s="2"/>
      <c r="Q4" s="4" t="s">
        <v>2</v>
      </c>
      <c r="R4" s="5"/>
    </row>
    <row r="5" spans="1:39" ht="21" x14ac:dyDescent="0.35">
      <c r="A5" s="1"/>
      <c r="B5" s="1"/>
      <c r="C5" s="1"/>
      <c r="D5" s="1"/>
      <c r="E5" s="1"/>
      <c r="F5" s="1"/>
      <c r="G5" s="1"/>
      <c r="H5" s="1"/>
      <c r="I5" s="1"/>
      <c r="J5" s="2"/>
      <c r="K5" s="2"/>
      <c r="L5" s="2"/>
      <c r="M5" s="2"/>
      <c r="N5" s="2"/>
      <c r="O5" s="2"/>
      <c r="Q5" s="4" t="s">
        <v>3</v>
      </c>
    </row>
    <row r="6" spans="1:39" ht="18.75" x14ac:dyDescent="0.3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  <c r="M6" s="2"/>
      <c r="N6" s="2"/>
      <c r="O6" s="2"/>
    </row>
    <row r="7" spans="1:39" ht="18.75" x14ac:dyDescent="0.3">
      <c r="A7" s="1"/>
      <c r="B7" s="1"/>
      <c r="C7" s="41" t="s">
        <v>4</v>
      </c>
      <c r="D7" s="41" t="s">
        <v>0</v>
      </c>
      <c r="E7" s="1"/>
      <c r="F7" s="1"/>
      <c r="G7" s="1"/>
      <c r="H7" s="1"/>
      <c r="I7" s="1"/>
      <c r="J7" s="2"/>
      <c r="K7" s="2"/>
      <c r="L7" s="2"/>
      <c r="M7" s="2"/>
      <c r="N7" s="2"/>
      <c r="O7" s="2"/>
    </row>
    <row r="8" spans="1:39" ht="18.75" x14ac:dyDescent="0.3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  <c r="M8" s="2"/>
      <c r="N8" s="2"/>
      <c r="O8" s="2"/>
      <c r="AM8" s="7" t="s">
        <v>5</v>
      </c>
    </row>
    <row r="9" spans="1:39" ht="18.75" x14ac:dyDescent="0.3">
      <c r="A9" s="1"/>
      <c r="B9" s="1"/>
      <c r="C9" s="1"/>
      <c r="D9" s="1"/>
      <c r="E9" s="1"/>
      <c r="F9" s="1"/>
      <c r="G9" s="1"/>
      <c r="H9" s="1"/>
      <c r="I9" s="1"/>
      <c r="J9" s="2"/>
      <c r="K9" s="2"/>
      <c r="L9" s="2"/>
      <c r="M9" s="2"/>
      <c r="N9" s="2"/>
      <c r="O9" s="2"/>
    </row>
    <row r="10" spans="1:39" ht="18.75" x14ac:dyDescent="0.3">
      <c r="A10" s="1"/>
      <c r="B10" s="1"/>
      <c r="J10" s="2"/>
      <c r="K10" s="2"/>
      <c r="L10" s="8"/>
      <c r="M10" s="2"/>
      <c r="N10" s="2"/>
      <c r="O10" s="2"/>
    </row>
    <row r="11" spans="1:39" ht="18.75" x14ac:dyDescent="0.3">
      <c r="A11" s="1"/>
      <c r="B11" s="1"/>
      <c r="J11" s="2"/>
      <c r="K11" s="2"/>
      <c r="L11" s="2"/>
      <c r="M11" s="2"/>
      <c r="N11" s="2"/>
      <c r="O11" s="2"/>
    </row>
    <row r="12" spans="1:39" ht="18.75" x14ac:dyDescent="0.3">
      <c r="A12" s="1"/>
      <c r="B12" s="1"/>
      <c r="J12" s="2"/>
      <c r="K12" s="2"/>
      <c r="L12" s="2"/>
      <c r="M12" s="2"/>
      <c r="N12" s="2"/>
      <c r="O12" s="2"/>
    </row>
    <row r="13" spans="1:39" ht="18.75" x14ac:dyDescent="0.3">
      <c r="A13" s="1"/>
      <c r="B13" s="1"/>
      <c r="J13" s="2"/>
      <c r="K13" s="2"/>
      <c r="L13" s="2"/>
      <c r="M13" s="2"/>
      <c r="N13" s="2"/>
      <c r="O13" s="2"/>
    </row>
    <row r="14" spans="1:39" ht="18.75" x14ac:dyDescent="0.3">
      <c r="A14" s="1"/>
      <c r="B14" s="1"/>
      <c r="J14" s="2"/>
      <c r="K14" s="2"/>
      <c r="L14" s="2"/>
      <c r="M14" s="2"/>
      <c r="N14" s="2"/>
      <c r="O14" s="2"/>
    </row>
    <row r="15" spans="1:39" ht="18.75" x14ac:dyDescent="0.3">
      <c r="A15" s="1"/>
      <c r="B15" s="1"/>
      <c r="J15" s="2"/>
      <c r="K15" s="2"/>
      <c r="L15" s="2"/>
      <c r="M15" s="2"/>
      <c r="N15" s="2"/>
      <c r="O15" s="2"/>
    </row>
    <row r="16" spans="1:39" ht="18.75" x14ac:dyDescent="0.3">
      <c r="A16" s="1"/>
      <c r="B16" s="1"/>
      <c r="E16" s="9"/>
      <c r="F16" s="9"/>
      <c r="G16" s="9"/>
      <c r="J16" s="2"/>
      <c r="K16" s="2"/>
      <c r="L16" s="2"/>
      <c r="M16" s="2"/>
      <c r="N16" s="2"/>
      <c r="O16" s="2"/>
    </row>
    <row r="17" spans="1:15" ht="18.75" x14ac:dyDescent="0.3">
      <c r="A17" s="1"/>
      <c r="B17" s="1"/>
      <c r="E17" s="9"/>
      <c r="F17" s="9"/>
      <c r="G17" s="9"/>
      <c r="J17" s="2"/>
      <c r="K17" s="2"/>
      <c r="L17" s="2"/>
      <c r="M17" s="2"/>
      <c r="N17" s="2"/>
      <c r="O17" s="2"/>
    </row>
    <row r="18" spans="1:15" ht="18.75" x14ac:dyDescent="0.3">
      <c r="A18" s="1"/>
      <c r="B18" s="1"/>
      <c r="E18" s="9"/>
      <c r="F18" s="9"/>
      <c r="G18" s="9"/>
      <c r="J18" s="2"/>
      <c r="K18" s="2"/>
      <c r="L18" s="2"/>
      <c r="M18" s="2"/>
      <c r="N18" s="2"/>
      <c r="O18" s="2"/>
    </row>
    <row r="19" spans="1:15" ht="18.75" x14ac:dyDescent="0.3">
      <c r="A19" s="1"/>
      <c r="B19" s="1"/>
      <c r="E19" s="9"/>
      <c r="F19" s="9"/>
      <c r="G19" s="9"/>
      <c r="H19" s="10"/>
      <c r="J19" s="2"/>
      <c r="K19" s="2"/>
      <c r="L19" s="2"/>
      <c r="M19" s="2"/>
      <c r="N19" s="2"/>
      <c r="O19" s="2"/>
    </row>
    <row r="20" spans="1:15" ht="18.75" x14ac:dyDescent="0.3">
      <c r="A20" s="1"/>
      <c r="B20" s="1"/>
      <c r="E20" s="9"/>
      <c r="F20" s="9"/>
      <c r="G20" s="9"/>
      <c r="H20" s="10"/>
      <c r="J20" s="2"/>
      <c r="K20" s="2"/>
      <c r="L20" s="2"/>
      <c r="M20" s="2"/>
      <c r="N20" s="2"/>
      <c r="O20" s="2"/>
    </row>
    <row r="21" spans="1:15" ht="18.75" x14ac:dyDescent="0.3">
      <c r="A21" s="1"/>
      <c r="B21" s="1"/>
      <c r="E21" s="9"/>
      <c r="F21" s="9"/>
      <c r="G21" s="9"/>
      <c r="J21" s="2"/>
      <c r="K21" s="2"/>
      <c r="L21" s="2"/>
      <c r="M21" s="2"/>
      <c r="N21" s="2"/>
      <c r="O21" s="2"/>
    </row>
    <row r="22" spans="1:15" ht="18.75" x14ac:dyDescent="0.3">
      <c r="A22" s="1"/>
      <c r="B22" s="1"/>
      <c r="J22" s="2"/>
      <c r="K22" s="2"/>
      <c r="L22" s="2"/>
      <c r="M22" s="2"/>
      <c r="N22" s="2"/>
      <c r="O22" s="2"/>
    </row>
    <row r="23" spans="1:15" ht="18.75" x14ac:dyDescent="0.3">
      <c r="A23" s="1"/>
      <c r="B23" s="1"/>
      <c r="J23" s="2"/>
      <c r="K23" s="2"/>
      <c r="L23" s="2"/>
      <c r="M23" s="2"/>
      <c r="N23" s="2"/>
      <c r="O23" s="2"/>
    </row>
    <row r="24" spans="1:15" ht="18.75" x14ac:dyDescent="0.3">
      <c r="A24" s="1"/>
      <c r="B24" s="1"/>
      <c r="J24" s="2"/>
      <c r="K24" s="2"/>
      <c r="L24" s="2"/>
      <c r="M24" s="2"/>
      <c r="N24" s="2"/>
      <c r="O24" s="2"/>
    </row>
    <row r="25" spans="1:15" ht="18.75" x14ac:dyDescent="0.3">
      <c r="A25" s="1"/>
      <c r="B25" s="1"/>
      <c r="J25" s="2"/>
      <c r="K25" s="2"/>
      <c r="L25" s="2"/>
      <c r="M25" s="2"/>
      <c r="N25" s="2"/>
      <c r="O25" s="2"/>
    </row>
    <row r="26" spans="1:15" ht="18.75" x14ac:dyDescent="0.3">
      <c r="A26" s="1"/>
      <c r="B26" s="1"/>
      <c r="J26" s="2"/>
      <c r="K26" s="2"/>
      <c r="L26" s="2"/>
      <c r="M26" s="2"/>
      <c r="N26" s="2"/>
      <c r="O26" s="2"/>
    </row>
    <row r="27" spans="1:15" ht="18.75" x14ac:dyDescent="0.3">
      <c r="A27" s="1"/>
      <c r="B27" s="1"/>
      <c r="J27" s="2"/>
      <c r="K27" s="2"/>
      <c r="L27" s="2"/>
      <c r="M27" s="2"/>
      <c r="N27" s="2"/>
      <c r="O27" s="2"/>
    </row>
    <row r="28" spans="1:15" ht="18.75" x14ac:dyDescent="0.3">
      <c r="A28" s="1"/>
      <c r="B28" s="1"/>
      <c r="J28" s="2"/>
      <c r="K28" s="2"/>
      <c r="L28" s="2"/>
      <c r="M28" s="2"/>
      <c r="N28" s="2"/>
      <c r="O28" s="2"/>
    </row>
    <row r="29" spans="1:15" ht="18.75" x14ac:dyDescent="0.3">
      <c r="A29" s="1"/>
      <c r="B29" s="1"/>
      <c r="J29" s="2"/>
      <c r="K29" s="2"/>
      <c r="L29" s="2"/>
      <c r="M29" s="2"/>
      <c r="N29" s="2"/>
      <c r="O29" s="2"/>
    </row>
    <row r="30" spans="1:15" ht="18.75" x14ac:dyDescent="0.3">
      <c r="A30" s="1"/>
      <c r="B30" s="1"/>
      <c r="J30" s="2"/>
      <c r="K30" s="2"/>
      <c r="L30" s="2"/>
      <c r="M30" s="2"/>
      <c r="N30" s="2"/>
      <c r="O30" s="2"/>
    </row>
    <row r="31" spans="1:15" ht="18.75" x14ac:dyDescent="0.3">
      <c r="A31" s="1"/>
      <c r="B31" s="1"/>
      <c r="J31" s="2"/>
      <c r="K31" s="2"/>
      <c r="L31" s="2"/>
      <c r="M31" s="2"/>
      <c r="N31" s="2"/>
      <c r="O31" s="2"/>
    </row>
    <row r="32" spans="1:15" ht="18.75" x14ac:dyDescent="0.3">
      <c r="A32" s="1"/>
      <c r="B32" s="1"/>
      <c r="J32" s="2"/>
      <c r="K32" s="2"/>
      <c r="L32" s="2"/>
      <c r="M32" s="2"/>
      <c r="N32" s="2"/>
      <c r="O32" s="2"/>
    </row>
    <row r="33" spans="1:15" ht="18.75" x14ac:dyDescent="0.3">
      <c r="A33" s="1"/>
      <c r="B33" s="1"/>
      <c r="J33" s="2"/>
      <c r="K33" s="2"/>
      <c r="L33" s="2"/>
      <c r="M33" s="2"/>
      <c r="N33" s="2"/>
      <c r="O33" s="2"/>
    </row>
    <row r="34" spans="1:15" ht="18.75" x14ac:dyDescent="0.3">
      <c r="A34" s="1"/>
      <c r="B34" s="1"/>
      <c r="J34" s="2"/>
      <c r="K34" s="2"/>
      <c r="L34" s="2"/>
      <c r="M34" s="2"/>
      <c r="N34" s="2"/>
      <c r="O34" s="2"/>
    </row>
    <row r="35" spans="1:15" ht="18.75" x14ac:dyDescent="0.3">
      <c r="A35" s="1"/>
      <c r="B35" s="1"/>
      <c r="J35" s="2"/>
      <c r="K35" s="2"/>
      <c r="L35" s="2"/>
      <c r="M35" s="2"/>
      <c r="N35" s="2"/>
      <c r="O35" s="2"/>
    </row>
    <row r="36" spans="1:15" ht="18.75" x14ac:dyDescent="0.3">
      <c r="J36" s="2"/>
      <c r="K36" s="2"/>
      <c r="L36" s="2"/>
      <c r="M36" s="2"/>
      <c r="N36" s="2"/>
      <c r="O36" s="2"/>
    </row>
    <row r="37" spans="1:15" ht="18.75" x14ac:dyDescent="0.3">
      <c r="J37" s="2"/>
      <c r="K37" s="2"/>
      <c r="L37" s="2"/>
      <c r="M37" s="2"/>
      <c r="N37" s="2"/>
      <c r="O37" s="2"/>
    </row>
    <row r="38" spans="1:15" ht="18.75" x14ac:dyDescent="0.3">
      <c r="J38" s="2"/>
      <c r="K38" s="2"/>
      <c r="L38" s="2"/>
      <c r="M38" s="2"/>
      <c r="N38" s="2"/>
      <c r="O38" s="2"/>
    </row>
  </sheetData>
  <dataValidations count="1">
    <dataValidation type="list" allowBlank="1" showInputMessage="1" showErrorMessage="1" sqref="D7" xr:uid="{0270C6BE-5D15-4500-A9B8-2D5141034FCD}">
      <formula1>$Q$1:$Q$2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&amp;L_x000D_&amp;1#&amp;"Calibri"&amp;10&amp;K000000 Público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2E9F-A33A-4569-B02C-0B5F2B51B54C}">
  <sheetPr>
    <tabColor theme="6" tint="0.39997558519241921"/>
  </sheetPr>
  <dimension ref="A1:AM26"/>
  <sheetViews>
    <sheetView showGridLines="0" zoomScaleNormal="100" workbookViewId="0">
      <pane xSplit="1" ySplit="4" topLeftCell="P10" activePane="bottomRight" state="frozen"/>
      <selection activeCell="AN19" sqref="AN19"/>
      <selection pane="topRight" activeCell="AN19" sqref="AN19"/>
      <selection pane="bottomLeft" activeCell="AN19" sqref="AN19"/>
      <selection pane="bottomRight" activeCell="AJ5" sqref="AJ5"/>
    </sheetView>
  </sheetViews>
  <sheetFormatPr defaultColWidth="15.7109375" defaultRowHeight="15" outlineLevelCol="1" x14ac:dyDescent="0.25"/>
  <cols>
    <col min="1" max="1" width="76.42578125" customWidth="1"/>
    <col min="2" max="3" width="76.42578125" hidden="1" customWidth="1"/>
    <col min="4" max="4" width="2.42578125" customWidth="1"/>
    <col min="5" max="8" width="15.7109375" style="28" hidden="1" customWidth="1" outlineLevel="1"/>
    <col min="9" max="9" width="18.140625" style="28" bestFit="1" customWidth="1" collapsed="1"/>
    <col min="10" max="10" width="1" customWidth="1"/>
    <col min="11" max="12" width="14.140625" style="28" hidden="1" customWidth="1" outlineLevel="1"/>
    <col min="13" max="13" width="15.140625" style="28" hidden="1" customWidth="1" outlineLevel="1"/>
    <col min="14" max="14" width="14.85546875" hidden="1" customWidth="1" outlineLevel="1"/>
    <col min="15" max="15" width="15.5703125" bestFit="1" customWidth="1" collapsed="1"/>
    <col min="16" max="16" width="1.28515625" customWidth="1"/>
    <col min="17" max="20" width="15.7109375" hidden="1" customWidth="1" outlineLevel="1"/>
    <col min="21" max="21" width="15.5703125" bestFit="1" customWidth="1" collapsed="1"/>
    <col min="22" max="22" width="1.28515625" customWidth="1"/>
    <col min="23" max="26" width="15.7109375" hidden="1" customWidth="1" outlineLevel="1"/>
    <col min="27" max="27" width="15.7109375" collapsed="1"/>
    <col min="28" max="28" width="1.42578125" customWidth="1"/>
    <col min="29" max="32" width="15.7109375" hidden="1" customWidth="1" outlineLevel="1"/>
    <col min="33" max="33" width="15.7109375" customWidth="1" collapsed="1"/>
    <col min="34" max="34" width="1.42578125" customWidth="1"/>
    <col min="35" max="38" width="15.7109375" outlineLevel="1"/>
  </cols>
  <sheetData>
    <row r="1" spans="1:39" ht="18" customHeight="1" x14ac:dyDescent="0.25"/>
    <row r="2" spans="1:39" s="24" customFormat="1" ht="18" customHeight="1" x14ac:dyDescent="0.25">
      <c r="E2" s="23" t="s">
        <v>65</v>
      </c>
      <c r="F2" s="23" t="s">
        <v>64</v>
      </c>
      <c r="G2" s="23" t="s">
        <v>63</v>
      </c>
      <c r="H2" s="23" t="s">
        <v>62</v>
      </c>
      <c r="I2" s="23">
        <v>2021</v>
      </c>
      <c r="K2" s="23" t="s">
        <v>61</v>
      </c>
      <c r="L2" s="23" t="s">
        <v>60</v>
      </c>
      <c r="M2" s="23" t="s">
        <v>59</v>
      </c>
      <c r="N2" s="23" t="s">
        <v>58</v>
      </c>
      <c r="O2" s="23">
        <v>2022</v>
      </c>
      <c r="Q2" s="23" t="s">
        <v>57</v>
      </c>
      <c r="R2" s="23" t="s">
        <v>56</v>
      </c>
      <c r="S2" s="23" t="s">
        <v>55</v>
      </c>
      <c r="T2" s="23" t="s">
        <v>54</v>
      </c>
      <c r="U2" s="23">
        <v>2023</v>
      </c>
      <c r="W2" s="23" t="s">
        <v>53</v>
      </c>
      <c r="X2" s="23" t="s">
        <v>52</v>
      </c>
      <c r="Y2" s="23" t="s">
        <v>51</v>
      </c>
      <c r="Z2" s="23" t="s">
        <v>50</v>
      </c>
      <c r="AA2" s="23">
        <v>2024</v>
      </c>
      <c r="AC2" s="23" t="s">
        <v>49</v>
      </c>
      <c r="AD2" s="23" t="s">
        <v>48</v>
      </c>
      <c r="AE2" s="23" t="s">
        <v>47</v>
      </c>
      <c r="AF2" s="23" t="s">
        <v>46</v>
      </c>
      <c r="AG2" s="23">
        <v>2025</v>
      </c>
      <c r="AI2" s="81" t="s">
        <v>442</v>
      </c>
      <c r="AJ2" s="81" t="s">
        <v>443</v>
      </c>
      <c r="AK2" s="81" t="s">
        <v>444</v>
      </c>
      <c r="AL2" s="81" t="s">
        <v>445</v>
      </c>
      <c r="AM2" s="81">
        <v>2026</v>
      </c>
    </row>
    <row r="3" spans="1:39" s="24" customFormat="1" ht="18" customHeight="1" x14ac:dyDescent="0.25">
      <c r="E3" s="37" t="s">
        <v>41</v>
      </c>
      <c r="F3" s="37" t="s">
        <v>40</v>
      </c>
      <c r="G3" s="37" t="s">
        <v>39</v>
      </c>
      <c r="H3" s="37" t="s">
        <v>38</v>
      </c>
      <c r="I3" s="37">
        <v>2021</v>
      </c>
      <c r="J3" s="38"/>
      <c r="K3" s="37" t="s">
        <v>37</v>
      </c>
      <c r="L3" s="37" t="s">
        <v>36</v>
      </c>
      <c r="M3" s="37" t="s">
        <v>35</v>
      </c>
      <c r="N3" s="37" t="s">
        <v>34</v>
      </c>
      <c r="O3" s="37">
        <v>2022</v>
      </c>
      <c r="P3" s="38"/>
      <c r="Q3" s="37" t="s">
        <v>33</v>
      </c>
      <c r="R3" s="37" t="s">
        <v>32</v>
      </c>
      <c r="S3" s="37" t="s">
        <v>31</v>
      </c>
      <c r="T3" s="37" t="s">
        <v>30</v>
      </c>
      <c r="U3" s="37">
        <v>2023</v>
      </c>
      <c r="V3" s="38"/>
      <c r="W3" s="37" t="s">
        <v>29</v>
      </c>
      <c r="X3" s="37" t="s">
        <v>28</v>
      </c>
      <c r="Y3" s="37" t="s">
        <v>27</v>
      </c>
      <c r="Z3" s="37" t="s">
        <v>26</v>
      </c>
      <c r="AA3" s="37">
        <v>2024</v>
      </c>
      <c r="AC3" s="37" t="s">
        <v>25</v>
      </c>
      <c r="AD3" s="37" t="s">
        <v>24</v>
      </c>
      <c r="AE3" s="37" t="s">
        <v>23</v>
      </c>
      <c r="AF3" s="37" t="s">
        <v>438</v>
      </c>
      <c r="AG3" s="37">
        <v>2025</v>
      </c>
      <c r="AI3" s="84" t="s">
        <v>446</v>
      </c>
      <c r="AJ3" s="84" t="s">
        <v>451</v>
      </c>
      <c r="AK3" s="84" t="s">
        <v>22</v>
      </c>
      <c r="AL3" s="84" t="s">
        <v>452</v>
      </c>
      <c r="AM3" s="84">
        <v>2026</v>
      </c>
    </row>
    <row r="4" spans="1:39" ht="16.5" thickBot="1" x14ac:dyDescent="0.3">
      <c r="A4" s="36" t="str">
        <f>IF(Menu!$D$7="Português/Portuguese",B4,C4)</f>
        <v>Destaque (Valores em mil toneladas)</v>
      </c>
      <c r="B4" s="36" t="s">
        <v>81</v>
      </c>
      <c r="C4" s="36" t="s">
        <v>80</v>
      </c>
      <c r="E4" s="20" t="str">
        <f>IF(Menu!$D$7="Português/Portuguese",E2,E3)</f>
        <v>1T21</v>
      </c>
      <c r="F4" s="20" t="str">
        <f>IF(Menu!$D$7="Português/Portuguese",F2,F3)</f>
        <v>2T21</v>
      </c>
      <c r="G4" s="20" t="str">
        <f>IF(Menu!$D$7="Português/Portuguese",G2,G3)</f>
        <v>3T21</v>
      </c>
      <c r="H4" s="20" t="str">
        <f>IF(Menu!$D$7="Português/Portuguese",H2,H3)</f>
        <v>4T21</v>
      </c>
      <c r="I4" s="19">
        <f>IF(Menu!$D$7="Português/Portuguese",I2,I3)</f>
        <v>2021</v>
      </c>
      <c r="J4" s="32">
        <f>IF([1]Menu!$D$7="Português/Portuguese",'Destaques | Highlights'!J2,'Destaques | Highlights'!J3)</f>
        <v>0</v>
      </c>
      <c r="K4" s="20" t="str">
        <f>IF(Menu!$D$7="Português/Portuguese",K2,K3)</f>
        <v>1T22</v>
      </c>
      <c r="L4" s="20" t="str">
        <f>IF(Menu!$D$7="Português/Portuguese",L2,L3)</f>
        <v>2T22</v>
      </c>
      <c r="M4" s="20" t="str">
        <f>IF(Menu!$D$7="Português/Portuguese",M2,M3)</f>
        <v>3T22</v>
      </c>
      <c r="N4" s="20" t="str">
        <f>IF(Menu!$D$7="Português/Portuguese",N2,N3)</f>
        <v>4T22</v>
      </c>
      <c r="O4" s="19">
        <f>IF(Menu!$D$7="Português/Portuguese",O2,O3)</f>
        <v>2022</v>
      </c>
      <c r="P4" s="32">
        <f>IF([1]Menu!$D$7="Português/Portuguese",'Destaques | Highlights'!P2,'Destaques | Highlights'!P3)</f>
        <v>0</v>
      </c>
      <c r="Q4" s="20" t="str">
        <f>IF(Menu!$D$7="Português/Portuguese",Q2,Q3)</f>
        <v>1T23</v>
      </c>
      <c r="R4" s="20" t="str">
        <f>IF(Menu!$D$7="Português/Portuguese",R2,R3)</f>
        <v>2T23</v>
      </c>
      <c r="S4" s="20" t="str">
        <f>IF(Menu!$D$7="Português/Portuguese",S2,S3)</f>
        <v>3T23</v>
      </c>
      <c r="T4" s="20" t="str">
        <f>IF(Menu!$D$7="Português/Portuguese",T2,T3)</f>
        <v>4T23</v>
      </c>
      <c r="U4" s="19">
        <f>IF(Menu!$D$7="Português/Portuguese",U2,U3)</f>
        <v>2023</v>
      </c>
      <c r="V4" s="32">
        <f>IF([1]Menu!$D$7="Português/Portuguese",'Destaques | Highlights'!V2,'Destaques | Highlights'!V3)</f>
        <v>0</v>
      </c>
      <c r="W4" s="20" t="str">
        <f>IF(Menu!$D$7="Português/Portuguese",W2,W3)</f>
        <v>1T24</v>
      </c>
      <c r="X4" s="20" t="str">
        <f>IF(Menu!$D$7="Português/Portuguese",X2,X3)</f>
        <v>2T24</v>
      </c>
      <c r="Y4" s="20" t="str">
        <f>IF(Menu!$D$7="Português/Portuguese",Y2,Y3)</f>
        <v>3T24</v>
      </c>
      <c r="Z4" s="20" t="str">
        <f>IF(Menu!$D$7="Português/Portuguese",Z2,Z3)</f>
        <v>4T24</v>
      </c>
      <c r="AA4" s="19">
        <f>IF(Menu!$D$7="Português/Portuguese",AA2,AA3)</f>
        <v>2024</v>
      </c>
      <c r="AB4">
        <f>IF([1]Menu!$D$7="Português/Portuguese",'Destaques | Highlights'!AB2,'Destaques | Highlights'!AB3)</f>
        <v>0</v>
      </c>
      <c r="AC4" s="20" t="str">
        <f>IF(Menu!$D$7="Português/Portuguese",AC2,AC3)</f>
        <v>1T25</v>
      </c>
      <c r="AD4" s="20" t="str">
        <f>IF(Menu!$D$7="Português/Portuguese",AD2,AD3)</f>
        <v>2T25</v>
      </c>
      <c r="AE4" s="20" t="str">
        <f>IF(Menu!$D$7="Português/Portuguese",AE2,AE3)</f>
        <v>3T25</v>
      </c>
      <c r="AF4" s="20" t="str">
        <f>IF(Menu!$D$7="Português/Portuguese",AF2,AF3)</f>
        <v>4T25</v>
      </c>
      <c r="AG4" s="19">
        <f>IF(Menu!$D$7="Português/Portuguese",AG2,AG3)</f>
        <v>2025</v>
      </c>
      <c r="AI4" s="20" t="str">
        <f>IF(Menu!$D$7="Português/Portuguese",AI2,AI3)</f>
        <v>1T26</v>
      </c>
      <c r="AJ4" s="20" t="str">
        <f>IF(Menu!$D$7="Português/Portuguese",AJ2,AJ3)</f>
        <v>2T26</v>
      </c>
      <c r="AK4" s="20" t="str">
        <f>IF(Menu!$D$7="Português/Portuguese",AK2,AK3)</f>
        <v>3T26</v>
      </c>
      <c r="AL4" s="20" t="str">
        <f>IF(Menu!$D$7="Português/Portuguese",AL2,AL3)</f>
        <v>4T26</v>
      </c>
      <c r="AM4" s="19">
        <f>IF(Menu!$D$7="Português/Portuguese",AM2,AM3)</f>
        <v>2026</v>
      </c>
    </row>
    <row r="5" spans="1:39" s="32" customFormat="1" ht="15.75" x14ac:dyDescent="0.25">
      <c r="A5" s="32" t="s">
        <v>206</v>
      </c>
      <c r="B5" s="32" t="s">
        <v>205</v>
      </c>
      <c r="C5" s="32" t="s">
        <v>206</v>
      </c>
      <c r="E5" s="31">
        <v>8225.0246999999999</v>
      </c>
      <c r="F5" s="31">
        <v>9109.982399999999</v>
      </c>
      <c r="G5" s="31">
        <v>8183.3867259999997</v>
      </c>
      <c r="H5" s="31">
        <v>7718.6340799999998</v>
      </c>
      <c r="I5" s="31">
        <v>33237.027906000003</v>
      </c>
      <c r="J5"/>
      <c r="K5" s="31">
        <v>7639.3920100000005</v>
      </c>
      <c r="L5" s="31">
        <v>6687.4722699999993</v>
      </c>
      <c r="M5" s="31">
        <f>SUM(M6:M7)</f>
        <v>9094.8012500000004</v>
      </c>
      <c r="N5" s="31">
        <f>SUM(N6:N7)</f>
        <v>9728.781719999999</v>
      </c>
      <c r="O5" s="31">
        <v>33325</v>
      </c>
      <c r="P5"/>
      <c r="Q5" s="31">
        <v>8617.7149700000009</v>
      </c>
      <c r="R5" s="31">
        <v>11258.011530000002</v>
      </c>
      <c r="S5" s="31">
        <v>11641.415909999998</v>
      </c>
      <c r="T5" s="31">
        <v>11144.006151999998</v>
      </c>
      <c r="U5" s="31">
        <v>42661.148562000002</v>
      </c>
      <c r="V5"/>
      <c r="W5" s="31">
        <v>9145.3084799999997</v>
      </c>
      <c r="X5" s="31">
        <v>10792.229714000001</v>
      </c>
      <c r="Y5" s="31">
        <v>11883.984218000001</v>
      </c>
      <c r="Z5" s="31">
        <v>10730.83337</v>
      </c>
      <c r="AA5" s="31">
        <v>42552.355781999999</v>
      </c>
      <c r="AC5" s="31">
        <v>9639.7669999999998</v>
      </c>
      <c r="AD5" s="31">
        <v>11832.536</v>
      </c>
      <c r="AE5" s="31">
        <v>12395.5548</v>
      </c>
      <c r="AF5" s="31">
        <v>11981.285609000002</v>
      </c>
      <c r="AG5" s="31">
        <v>45849.143408999997</v>
      </c>
      <c r="AI5" s="31">
        <v>9636</v>
      </c>
      <c r="AJ5" s="31">
        <v>11848.705600000001</v>
      </c>
      <c r="AK5" s="31"/>
      <c r="AL5" s="31"/>
      <c r="AM5" s="31"/>
    </row>
    <row r="6" spans="1:39" s="32" customFormat="1" ht="17.25" x14ac:dyDescent="0.3">
      <c r="A6" s="35" t="s">
        <v>16</v>
      </c>
      <c r="B6" s="35" t="s">
        <v>79</v>
      </c>
      <c r="C6" s="35" t="s">
        <v>16</v>
      </c>
      <c r="E6" s="49">
        <v>1286.0246999999999</v>
      </c>
      <c r="F6" s="49">
        <v>1174.3583999999998</v>
      </c>
      <c r="G6" s="49">
        <v>1269.4237260000002</v>
      </c>
      <c r="H6" s="49">
        <v>1189.9310799999998</v>
      </c>
      <c r="I6" s="49">
        <v>4919.7379060000003</v>
      </c>
      <c r="J6"/>
      <c r="K6" s="49">
        <v>1110.6890100000001</v>
      </c>
      <c r="L6" s="49">
        <v>866.77326999999991</v>
      </c>
      <c r="M6" s="49">
        <v>1121.8012499999998</v>
      </c>
      <c r="N6" s="49">
        <v>1037.78172</v>
      </c>
      <c r="O6" s="70">
        <v>4133</v>
      </c>
      <c r="P6"/>
      <c r="Q6" s="49">
        <v>665.90597000000002</v>
      </c>
      <c r="R6" s="49">
        <v>1003.1655300000002</v>
      </c>
      <c r="S6" s="49">
        <v>1765.4379099999992</v>
      </c>
      <c r="T6" s="49">
        <v>1558.119152</v>
      </c>
      <c r="U6" s="49">
        <v>4992.6285619999999</v>
      </c>
      <c r="V6"/>
      <c r="W6" s="49">
        <v>1021.8334800000001</v>
      </c>
      <c r="X6" s="49">
        <v>859.04771400000004</v>
      </c>
      <c r="Y6" s="49">
        <v>1105.7402180000001</v>
      </c>
      <c r="Z6" s="49">
        <v>1053.6083699999999</v>
      </c>
      <c r="AA6" s="49">
        <v>4040.2297820000003</v>
      </c>
      <c r="AC6" s="49">
        <v>1039.835</v>
      </c>
      <c r="AD6" s="49">
        <v>1067.366</v>
      </c>
      <c r="AE6" s="49">
        <v>976.8578</v>
      </c>
      <c r="AF6" s="49">
        <v>944.96660900000006</v>
      </c>
      <c r="AG6" s="49">
        <v>3084.0587999999998</v>
      </c>
      <c r="AI6" s="49">
        <v>737</v>
      </c>
      <c r="AJ6" s="49">
        <v>1346.0075999999999</v>
      </c>
      <c r="AK6" s="49"/>
      <c r="AL6" s="49"/>
      <c r="AM6" s="49"/>
    </row>
    <row r="7" spans="1:39" s="32" customFormat="1" ht="17.25" x14ac:dyDescent="0.3">
      <c r="A7" s="35" t="s">
        <v>14</v>
      </c>
      <c r="B7" s="35" t="s">
        <v>78</v>
      </c>
      <c r="C7" s="35" t="s">
        <v>14</v>
      </c>
      <c r="E7" s="49">
        <v>6939</v>
      </c>
      <c r="F7" s="49">
        <v>7935.6239999999998</v>
      </c>
      <c r="G7" s="49">
        <v>6913.9629999999997</v>
      </c>
      <c r="H7" s="49">
        <v>6528.7030000000004</v>
      </c>
      <c r="I7" s="49">
        <v>28317.29</v>
      </c>
      <c r="J7"/>
      <c r="K7" s="49">
        <v>6528.7030000000004</v>
      </c>
      <c r="L7" s="49">
        <v>5820.6989999999996</v>
      </c>
      <c r="M7" s="49">
        <v>7973</v>
      </c>
      <c r="N7" s="49">
        <v>8691</v>
      </c>
      <c r="O7" s="70">
        <v>29192</v>
      </c>
      <c r="P7"/>
      <c r="Q7" s="49">
        <v>7951.8090000000002</v>
      </c>
      <c r="R7" s="49">
        <v>10254.846000000001</v>
      </c>
      <c r="S7" s="49">
        <v>9875.9779999999992</v>
      </c>
      <c r="T7" s="49">
        <v>9585.8869999999988</v>
      </c>
      <c r="U7" s="49">
        <v>37668.520000000004</v>
      </c>
      <c r="V7"/>
      <c r="W7" s="49">
        <v>8123.4749999999995</v>
      </c>
      <c r="X7" s="49">
        <v>9933.1820000000007</v>
      </c>
      <c r="Y7" s="49">
        <v>10778.244000000001</v>
      </c>
      <c r="Z7" s="49">
        <v>9677.2250000000004</v>
      </c>
      <c r="AA7" s="49">
        <v>38512.125999999997</v>
      </c>
      <c r="AC7" s="49">
        <v>8599.9320000000007</v>
      </c>
      <c r="AD7" s="49">
        <v>10765.17</v>
      </c>
      <c r="AE7" s="49">
        <v>11418.697</v>
      </c>
      <c r="AF7" s="49">
        <v>11036.319000000001</v>
      </c>
      <c r="AG7" s="49">
        <v>41820.118000000002</v>
      </c>
      <c r="AI7" s="49">
        <v>8899</v>
      </c>
      <c r="AJ7" s="49">
        <v>10502.698</v>
      </c>
      <c r="AK7" s="49"/>
      <c r="AL7" s="49"/>
      <c r="AM7" s="49"/>
    </row>
    <row r="8" spans="1:39" ht="16.5" thickBot="1" x14ac:dyDescent="0.3">
      <c r="A8" s="36" t="str">
        <f>IF(Menu!$D$7="Português/Portuguese",B8,C8)</f>
        <v>Resultados Consolidados IFRS (R$ milhões)</v>
      </c>
      <c r="B8" s="36" t="s">
        <v>207</v>
      </c>
      <c r="C8" s="36" t="s">
        <v>214</v>
      </c>
      <c r="E8" s="20" t="str">
        <f t="shared" ref="E8:AM8" si="0">E4</f>
        <v>1T21</v>
      </c>
      <c r="F8" s="20" t="str">
        <f t="shared" si="0"/>
        <v>2T21</v>
      </c>
      <c r="G8" s="20" t="str">
        <f t="shared" si="0"/>
        <v>3T21</v>
      </c>
      <c r="H8" s="20" t="str">
        <f t="shared" si="0"/>
        <v>4T21</v>
      </c>
      <c r="I8" s="19">
        <f t="shared" si="0"/>
        <v>2021</v>
      </c>
      <c r="J8" s="32">
        <f t="shared" si="0"/>
        <v>0</v>
      </c>
      <c r="K8" s="20" t="str">
        <f t="shared" si="0"/>
        <v>1T22</v>
      </c>
      <c r="L8" s="20" t="str">
        <f t="shared" si="0"/>
        <v>2T22</v>
      </c>
      <c r="M8" s="20" t="str">
        <f t="shared" si="0"/>
        <v>3T22</v>
      </c>
      <c r="N8" s="20" t="str">
        <f t="shared" si="0"/>
        <v>4T22</v>
      </c>
      <c r="O8" s="19">
        <f t="shared" si="0"/>
        <v>2022</v>
      </c>
      <c r="P8" s="32">
        <f t="shared" si="0"/>
        <v>0</v>
      </c>
      <c r="Q8" s="20" t="str">
        <f t="shared" si="0"/>
        <v>1T23</v>
      </c>
      <c r="R8" s="20" t="str">
        <f t="shared" si="0"/>
        <v>2T23</v>
      </c>
      <c r="S8" s="20" t="str">
        <f t="shared" si="0"/>
        <v>3T23</v>
      </c>
      <c r="T8" s="20" t="str">
        <f t="shared" si="0"/>
        <v>4T23</v>
      </c>
      <c r="U8" s="19">
        <f t="shared" si="0"/>
        <v>2023</v>
      </c>
      <c r="V8" s="32">
        <f t="shared" si="0"/>
        <v>0</v>
      </c>
      <c r="W8" s="20" t="str">
        <f t="shared" si="0"/>
        <v>1T24</v>
      </c>
      <c r="X8" s="20" t="str">
        <f t="shared" si="0"/>
        <v>2T24</v>
      </c>
      <c r="Y8" s="20" t="str">
        <f t="shared" si="0"/>
        <v>3T24</v>
      </c>
      <c r="Z8" s="20" t="str">
        <f t="shared" si="0"/>
        <v>4T24</v>
      </c>
      <c r="AA8" s="19">
        <f t="shared" si="0"/>
        <v>2024</v>
      </c>
      <c r="AB8">
        <f t="shared" si="0"/>
        <v>0</v>
      </c>
      <c r="AC8" s="20" t="str">
        <f t="shared" si="0"/>
        <v>1T25</v>
      </c>
      <c r="AD8" s="20" t="str">
        <f t="shared" si="0"/>
        <v>2T25</v>
      </c>
      <c r="AE8" s="20" t="str">
        <f t="shared" si="0"/>
        <v>3T25</v>
      </c>
      <c r="AF8" s="20" t="str">
        <f t="shared" si="0"/>
        <v>4T25</v>
      </c>
      <c r="AG8" s="19">
        <f t="shared" si="0"/>
        <v>2025</v>
      </c>
      <c r="AI8" s="20" t="str">
        <f t="shared" si="0"/>
        <v>1T26</v>
      </c>
      <c r="AJ8" s="20" t="str">
        <f t="shared" si="0"/>
        <v>2T26</v>
      </c>
      <c r="AK8" s="20" t="str">
        <f t="shared" si="0"/>
        <v>3T26</v>
      </c>
      <c r="AL8" s="20" t="str">
        <f t="shared" si="0"/>
        <v>4T26</v>
      </c>
      <c r="AM8" s="19">
        <f t="shared" si="0"/>
        <v>2026</v>
      </c>
    </row>
    <row r="9" spans="1:39" s="32" customFormat="1" ht="15.75" x14ac:dyDescent="0.25">
      <c r="A9" s="32" t="str">
        <f>IF(Menu!$D$7="Português/Portuguese",B9,C9)</f>
        <v>Receita Líquida¹</v>
      </c>
      <c r="B9" s="32" t="s">
        <v>208</v>
      </c>
      <c r="C9" s="32" t="s">
        <v>77</v>
      </c>
      <c r="E9" s="31">
        <v>5474</v>
      </c>
      <c r="F9" s="31">
        <v>7345</v>
      </c>
      <c r="G9" s="31">
        <v>2783</v>
      </c>
      <c r="H9" s="31">
        <v>2381</v>
      </c>
      <c r="I9" s="31">
        <f>SUM(E9:H9)-1</f>
        <v>17982</v>
      </c>
      <c r="J9"/>
      <c r="K9" s="31">
        <v>3838.3259241800001</v>
      </c>
      <c r="L9" s="31">
        <v>2586.7471913200002</v>
      </c>
      <c r="M9" s="31">
        <v>2508.5522629800003</v>
      </c>
      <c r="N9" s="33">
        <v>3512.386</v>
      </c>
      <c r="O9" s="31">
        <v>12446.011378480001</v>
      </c>
      <c r="P9"/>
      <c r="Q9" s="31">
        <v>4114.7308840400001</v>
      </c>
      <c r="R9" s="31">
        <v>3610.9210177400014</v>
      </c>
      <c r="S9" s="31">
        <v>4309.6245741769262</v>
      </c>
      <c r="T9" s="33">
        <v>5018.4138657519243</v>
      </c>
      <c r="U9" s="31">
        <v>17053.690341708854</v>
      </c>
      <c r="V9"/>
      <c r="W9" s="31">
        <v>2804.8080313709502</v>
      </c>
      <c r="X9" s="31">
        <v>3323.6397608471757</v>
      </c>
      <c r="Y9" s="31">
        <v>2973.2331101790751</v>
      </c>
      <c r="Z9" s="33">
        <v>3907</v>
      </c>
      <c r="AA9" s="31">
        <v>13008.680902397202</v>
      </c>
      <c r="AC9" s="31">
        <v>3412.167245000001</v>
      </c>
      <c r="AD9" s="31">
        <v>3406.2099268299994</v>
      </c>
      <c r="AE9" s="31">
        <v>4405.0750831900014</v>
      </c>
      <c r="AF9" s="33">
        <v>4109.3522208799986</v>
      </c>
      <c r="AG9" s="31">
        <v>15332.8044759</v>
      </c>
      <c r="AI9" s="31">
        <v>3165.4443573399999</v>
      </c>
      <c r="AJ9" s="31">
        <v>2867.4676426600004</v>
      </c>
      <c r="AK9" s="31"/>
      <c r="AL9" s="33"/>
      <c r="AM9" s="31"/>
    </row>
    <row r="10" spans="1:39" s="32" customFormat="1" ht="17.25" x14ac:dyDescent="0.3">
      <c r="A10" s="35" t="str">
        <f>IF(Menu!$D$7="Português/Portuguese",B10,C10)</f>
        <v>Custo de Produto Vendido (CPV)</v>
      </c>
      <c r="B10" s="35" t="s">
        <v>209</v>
      </c>
      <c r="C10" s="35" t="s">
        <v>76</v>
      </c>
      <c r="E10" s="49">
        <v>-2237.7005854485988</v>
      </c>
      <c r="F10" s="49">
        <v>-2377.8756715182517</v>
      </c>
      <c r="G10" s="49">
        <v>-2645.4833424532221</v>
      </c>
      <c r="H10" s="49">
        <v>-2589.5175886933034</v>
      </c>
      <c r="I10" s="49">
        <v>-9850.5771881133751</v>
      </c>
      <c r="J10"/>
      <c r="K10" s="49">
        <v>-1603.7267516007182</v>
      </c>
      <c r="L10" s="49">
        <v>-1835.2350718069918</v>
      </c>
      <c r="M10" s="49">
        <v>-1777.6702859401573</v>
      </c>
      <c r="N10" s="52">
        <v>-1866.6353038686341</v>
      </c>
      <c r="O10" s="49">
        <v>-7083.2674132165012</v>
      </c>
      <c r="P10"/>
      <c r="Q10" s="49">
        <v>-2227.4640629305632</v>
      </c>
      <c r="R10" s="49">
        <v>-2622.5098370807264</v>
      </c>
      <c r="S10" s="49">
        <v>-2523.5351132654923</v>
      </c>
      <c r="T10" s="52">
        <v>-2465.5482349692643</v>
      </c>
      <c r="U10" s="49">
        <v>-9839.0572482460466</v>
      </c>
      <c r="V10"/>
      <c r="W10" s="49">
        <v>-1889.9313486907718</v>
      </c>
      <c r="X10" s="49">
        <v>-1946.2818105892345</v>
      </c>
      <c r="Y10" s="49">
        <v>-2063.3503363824188</v>
      </c>
      <c r="Z10" s="52">
        <v>-2125</v>
      </c>
      <c r="AA10" s="49">
        <v>-8024.5634956624253</v>
      </c>
      <c r="AC10" s="49">
        <v>-2237.7005854485988</v>
      </c>
      <c r="AD10" s="49">
        <v>-2377.8756715182517</v>
      </c>
      <c r="AE10" s="49">
        <v>-2645.4833424532221</v>
      </c>
      <c r="AF10" s="52">
        <v>-2589.5175886933034</v>
      </c>
      <c r="AG10" s="49">
        <v>-9850.5771881133751</v>
      </c>
      <c r="AI10" s="49">
        <v>-2034.8835797839001</v>
      </c>
      <c r="AJ10" s="49">
        <v>-2106</v>
      </c>
      <c r="AK10" s="49"/>
      <c r="AL10" s="52"/>
      <c r="AM10" s="49"/>
    </row>
    <row r="11" spans="1:39" s="32" customFormat="1" ht="15.75" x14ac:dyDescent="0.25">
      <c r="A11" s="32" t="str">
        <f>IF(Menu!$D$7="Português/Portuguese",B11,C11)</f>
        <v>Lucro Bruto</v>
      </c>
      <c r="B11" s="32" t="s">
        <v>75</v>
      </c>
      <c r="C11" s="32" t="s">
        <v>74</v>
      </c>
      <c r="E11" s="31">
        <v>3566</v>
      </c>
      <c r="F11" s="31">
        <v>4917</v>
      </c>
      <c r="G11" s="31">
        <v>784</v>
      </c>
      <c r="H11" s="31">
        <v>706</v>
      </c>
      <c r="I11" s="31">
        <f>SUM(E11:H11)+1</f>
        <v>9974</v>
      </c>
      <c r="J11"/>
      <c r="K11" s="31">
        <v>2234.5991725792819</v>
      </c>
      <c r="L11" s="31">
        <v>751.51211951300843</v>
      </c>
      <c r="M11" s="31">
        <v>730.88197703984292</v>
      </c>
      <c r="N11" s="33">
        <v>1645.7506961313659</v>
      </c>
      <c r="O11" s="31">
        <v>5362.7439652634994</v>
      </c>
      <c r="P11"/>
      <c r="Q11" s="31">
        <v>1887.2668211094369</v>
      </c>
      <c r="R11" s="31">
        <v>988.41118065927503</v>
      </c>
      <c r="S11" s="31">
        <v>1786.0894609114339</v>
      </c>
      <c r="T11" s="33">
        <v>2552.86563078266</v>
      </c>
      <c r="U11" s="31">
        <v>7214.6330934628077</v>
      </c>
      <c r="V11"/>
      <c r="W11" s="31">
        <v>914.87668268017842</v>
      </c>
      <c r="X11" s="31">
        <v>1377.3579502579412</v>
      </c>
      <c r="Y11" s="31">
        <v>909.88277379665624</v>
      </c>
      <c r="Z11" s="33">
        <v>1782</v>
      </c>
      <c r="AA11" s="31">
        <v>4984.1174067347765</v>
      </c>
      <c r="AC11" s="31">
        <v>1174.4810595514018</v>
      </c>
      <c r="AD11" s="31">
        <v>1028.3342553117477</v>
      </c>
      <c r="AE11" s="31">
        <v>1759.5917407367792</v>
      </c>
      <c r="AF11" s="33">
        <v>1519.8346321866952</v>
      </c>
      <c r="AG11" s="31">
        <v>5482.2272877866253</v>
      </c>
      <c r="AI11" s="31">
        <v>1130.5607775560998</v>
      </c>
      <c r="AJ11" s="31">
        <v>761.46764266000037</v>
      </c>
      <c r="AK11" s="31"/>
      <c r="AL11" s="33"/>
      <c r="AM11" s="31"/>
    </row>
    <row r="12" spans="1:39" s="32" customFormat="1" ht="17.25" x14ac:dyDescent="0.3">
      <c r="A12" s="32" t="str">
        <f>IF(Menu!$D$7="Português/Portuguese",B12,C12)</f>
        <v>Margem Bruta %</v>
      </c>
      <c r="B12" s="32" t="s">
        <v>210</v>
      </c>
      <c r="C12" s="32" t="s">
        <v>72</v>
      </c>
      <c r="E12" s="55">
        <v>0.3441996172000068</v>
      </c>
      <c r="F12" s="55">
        <v>0.30189984686844312</v>
      </c>
      <c r="G12" s="55">
        <v>0.39944648104897779</v>
      </c>
      <c r="H12" s="56">
        <v>0.36984774010469945</v>
      </c>
      <c r="I12" s="55">
        <v>0.35754983352220882</v>
      </c>
      <c r="J12"/>
      <c r="K12" s="55">
        <v>0.58218067374168336</v>
      </c>
      <c r="L12" s="55">
        <v>0.29052399168915949</v>
      </c>
      <c r="M12" s="55">
        <v>0.29135608925747541</v>
      </c>
      <c r="N12" s="56">
        <v>0.46855633069126396</v>
      </c>
      <c r="O12" s="55">
        <v>0.43088052888462303</v>
      </c>
      <c r="P12"/>
      <c r="Q12" s="55">
        <v>0.45866105810945434</v>
      </c>
      <c r="R12" s="55">
        <v>0.27372827480948353</v>
      </c>
      <c r="S12" s="55">
        <v>0.41444200768985784</v>
      </c>
      <c r="T12" s="56">
        <v>0.5086997005577093</v>
      </c>
      <c r="U12" s="55">
        <v>0.42305406917221355</v>
      </c>
      <c r="V12"/>
      <c r="W12" s="55">
        <v>0.32618156838099177</v>
      </c>
      <c r="X12" s="55">
        <v>0.41441252643663795</v>
      </c>
      <c r="Y12" s="55">
        <v>0.3060247010843542</v>
      </c>
      <c r="Z12" s="56">
        <v>0.45610442794983364</v>
      </c>
      <c r="AA12" s="55">
        <v>0.3831378019132069</v>
      </c>
      <c r="AC12" s="55">
        <v>0.3441996172000068</v>
      </c>
      <c r="AD12" s="55">
        <v>0.30189984686844312</v>
      </c>
      <c r="AE12" s="55">
        <v>0.39944648104897779</v>
      </c>
      <c r="AF12" s="55">
        <f>AF11/AF9</f>
        <v>0.36984774010469945</v>
      </c>
      <c r="AG12" s="55">
        <v>0.35754889435938175</v>
      </c>
      <c r="AI12" s="55">
        <f>AI11/AI9</f>
        <v>0.35715705282721744</v>
      </c>
      <c r="AJ12" s="55">
        <f>AJ11/AJ9</f>
        <v>0.26555404892158663</v>
      </c>
      <c r="AK12" s="55"/>
      <c r="AL12" s="56"/>
      <c r="AM12" s="55"/>
    </row>
    <row r="13" spans="1:39" s="34" customFormat="1" ht="17.25" x14ac:dyDescent="0.3">
      <c r="A13" s="35" t="str">
        <f>IF(Menu!$D$7="Português/Portuguese",B13,C13)</f>
        <v xml:space="preserve">Despesas com vendas e administrativas </v>
      </c>
      <c r="B13" s="35" t="s">
        <v>211</v>
      </c>
      <c r="C13" s="35" t="s">
        <v>215</v>
      </c>
      <c r="E13" s="49">
        <v>-57.556343082945808</v>
      </c>
      <c r="F13" s="49">
        <v>-76.315320227054272</v>
      </c>
      <c r="G13" s="49">
        <v>-86.621046040000095</v>
      </c>
      <c r="H13" s="52">
        <v>-83.476001629999814</v>
      </c>
      <c r="I13" s="49">
        <v>-303.96871097999997</v>
      </c>
      <c r="J13"/>
      <c r="K13" s="49">
        <v>-56.255296149999992</v>
      </c>
      <c r="L13" s="49">
        <v>-81.026431860000002</v>
      </c>
      <c r="M13" s="49">
        <v>-51.733487519999926</v>
      </c>
      <c r="N13" s="52">
        <v>-130.72029543000008</v>
      </c>
      <c r="O13" s="49">
        <v>-319.73551096</v>
      </c>
      <c r="P13"/>
      <c r="Q13" s="49">
        <v>-119.07854688999998</v>
      </c>
      <c r="R13" s="49">
        <v>-137.79414796999998</v>
      </c>
      <c r="S13" s="49">
        <v>-60.884891740000064</v>
      </c>
      <c r="T13" s="52">
        <v>-66.967243220000256</v>
      </c>
      <c r="U13" s="49">
        <v>-384.72482982000031</v>
      </c>
      <c r="V13"/>
      <c r="W13" s="49">
        <v>-72.997653399999962</v>
      </c>
      <c r="X13" s="49">
        <v>-51.988386489999982</v>
      </c>
      <c r="Y13" s="49">
        <v>-58.259663589999974</v>
      </c>
      <c r="Z13" s="52">
        <v>-49</v>
      </c>
      <c r="AA13" s="49">
        <v>-232.24570347999992</v>
      </c>
      <c r="AB13" s="32"/>
      <c r="AC13" s="49">
        <v>-57.556343082945808</v>
      </c>
      <c r="AD13" s="49">
        <v>-76.315320227054272</v>
      </c>
      <c r="AE13" s="49">
        <v>-86.621046040000095</v>
      </c>
      <c r="AF13" s="52">
        <v>-83.476001629999814</v>
      </c>
      <c r="AG13" s="49">
        <v>-303.96871097999997</v>
      </c>
      <c r="AH13" s="32"/>
      <c r="AI13" s="49">
        <f>-67417/1000</f>
        <v>-67.417000000000002</v>
      </c>
      <c r="AJ13" s="49">
        <v>-102.58262842999993</v>
      </c>
      <c r="AK13" s="49"/>
      <c r="AL13" s="52"/>
      <c r="AM13" s="49"/>
    </row>
    <row r="14" spans="1:39" s="34" customFormat="1" ht="17.25" x14ac:dyDescent="0.3">
      <c r="A14" s="32" t="str">
        <f>IF(Menu!$D$7="Português/Portuguese",B14,C14)</f>
        <v>Resultado de Participações</v>
      </c>
      <c r="B14" s="32" t="s">
        <v>212</v>
      </c>
      <c r="C14" s="32" t="s">
        <v>216</v>
      </c>
      <c r="E14" s="31">
        <v>37.04187633247529</v>
      </c>
      <c r="F14" s="31">
        <v>73.730403482247524</v>
      </c>
      <c r="G14" s="31">
        <v>60.401338254925498</v>
      </c>
      <c r="H14" s="33">
        <v>54.928381930351684</v>
      </c>
      <c r="I14" s="31">
        <v>226.102</v>
      </c>
      <c r="J14"/>
      <c r="K14" s="31">
        <v>11.041613971073861</v>
      </c>
      <c r="L14" s="31">
        <v>26.596179195214471</v>
      </c>
      <c r="M14" s="31">
        <v>46.68305950890354</v>
      </c>
      <c r="N14" s="33">
        <v>32.240779730898495</v>
      </c>
      <c r="O14" s="31">
        <v>116.56163240609037</v>
      </c>
      <c r="P14"/>
      <c r="Q14" s="31">
        <v>14.220918845290415</v>
      </c>
      <c r="R14" s="31">
        <v>46.017073740637862</v>
      </c>
      <c r="S14" s="31">
        <v>54.529235896614118</v>
      </c>
      <c r="T14" s="33">
        <v>37.426659653803405</v>
      </c>
      <c r="U14" s="31">
        <v>152.19388813634581</v>
      </c>
      <c r="V14"/>
      <c r="W14" s="31">
        <v>39.900877349614873</v>
      </c>
      <c r="X14" s="31">
        <v>46.180308351318992</v>
      </c>
      <c r="Y14" s="31">
        <v>50.288693985688091</v>
      </c>
      <c r="Z14" s="33">
        <v>45</v>
      </c>
      <c r="AA14" s="31">
        <v>181.36987968662197</v>
      </c>
      <c r="AB14" s="32"/>
      <c r="AC14" s="31">
        <v>37.04187633247529</v>
      </c>
      <c r="AD14" s="31">
        <v>73.730403482247524</v>
      </c>
      <c r="AE14" s="31">
        <v>60.401338254925498</v>
      </c>
      <c r="AF14" s="33">
        <v>54.928381930351684</v>
      </c>
      <c r="AG14" s="31">
        <v>226.102</v>
      </c>
      <c r="AH14" s="32"/>
      <c r="AI14" s="31">
        <v>-2.9755651986</v>
      </c>
      <c r="AJ14" s="31">
        <v>82.975565198599995</v>
      </c>
      <c r="AK14" s="31"/>
      <c r="AL14" s="33"/>
      <c r="AM14" s="31"/>
    </row>
    <row r="15" spans="1:39" s="32" customFormat="1" ht="15.75" x14ac:dyDescent="0.25">
      <c r="A15" s="32" t="str">
        <f>IF(Menu!$D$7="Português/Portuguese",B15,C15)</f>
        <v>EBITDA Ajustado</v>
      </c>
      <c r="B15" s="32" t="s">
        <v>71</v>
      </c>
      <c r="C15" s="32" t="s">
        <v>70</v>
      </c>
      <c r="E15" s="31">
        <v>3665</v>
      </c>
      <c r="F15" s="31">
        <v>4956</v>
      </c>
      <c r="G15" s="31">
        <v>911</v>
      </c>
      <c r="H15" s="31">
        <v>850</v>
      </c>
      <c r="I15" s="31">
        <f>SUM(E15:H15)</f>
        <v>10382</v>
      </c>
      <c r="J15"/>
      <c r="K15" s="31">
        <v>2414.6577537092826</v>
      </c>
      <c r="L15" s="31">
        <v>907.44156830300847</v>
      </c>
      <c r="M15" s="31">
        <v>926.02764169984323</v>
      </c>
      <c r="N15" s="31">
        <v>1784.7506970313666</v>
      </c>
      <c r="O15" s="31">
        <v>6032.8776607435011</v>
      </c>
      <c r="P15"/>
      <c r="Q15" s="31">
        <v>2018.3988401791987</v>
      </c>
      <c r="R15" s="31">
        <v>1098.111684249156</v>
      </c>
      <c r="S15" s="31">
        <v>1987.7233252213146</v>
      </c>
      <c r="T15" s="31">
        <v>2758.8900725325393</v>
      </c>
      <c r="U15" s="31">
        <v>7863.1239221822088</v>
      </c>
      <c r="V15"/>
      <c r="W15" s="31">
        <v>1123.3498359499799</v>
      </c>
      <c r="X15" s="31">
        <v>1618.4499087278218</v>
      </c>
      <c r="Y15" s="31">
        <v>1138.8140496468943</v>
      </c>
      <c r="Z15" s="31">
        <v>2015</v>
      </c>
      <c r="AA15" s="31">
        <v>5895.6137943246958</v>
      </c>
      <c r="AC15" s="31">
        <v>1427.4043703384557</v>
      </c>
      <c r="AD15" s="31">
        <v>1268.3086096246934</v>
      </c>
      <c r="AE15" s="31">
        <v>1991.4337012967792</v>
      </c>
      <c r="AF15" s="31">
        <v>1761.2649180766962</v>
      </c>
      <c r="AG15" s="31">
        <v>6448.4115993366249</v>
      </c>
      <c r="AI15" s="31">
        <v>1419.8748359660999</v>
      </c>
      <c r="AJ15" s="31">
        <v>1018.1251640339001</v>
      </c>
      <c r="AK15" s="31"/>
      <c r="AL15" s="31"/>
      <c r="AM15" s="31"/>
    </row>
    <row r="16" spans="1:39" s="34" customFormat="1" ht="17.25" x14ac:dyDescent="0.3">
      <c r="A16" s="35" t="str">
        <f>IF(Menu!$D$7="Português/Portuguese",B16,C16)</f>
        <v>Margem EBITDA %</v>
      </c>
      <c r="B16" s="35" t="s">
        <v>213</v>
      </c>
      <c r="C16" s="35" t="s">
        <v>217</v>
      </c>
      <c r="E16" s="53">
        <v>0.66949999999999998</v>
      </c>
      <c r="F16" s="53">
        <v>0.67469999999999997</v>
      </c>
      <c r="G16" s="53">
        <v>0.32729999999999998</v>
      </c>
      <c r="H16" s="54">
        <v>0.35709999999999997</v>
      </c>
      <c r="I16" s="54">
        <v>0.42056308808164844</v>
      </c>
      <c r="J16"/>
      <c r="K16" s="53">
        <v>0.629091380306673</v>
      </c>
      <c r="L16" s="53">
        <v>0.35080411852692378</v>
      </c>
      <c r="M16" s="53">
        <v>0.36914823556427778</v>
      </c>
      <c r="N16" s="54">
        <v>0.50813056908647469</v>
      </c>
      <c r="O16" s="54">
        <v>0.48472377834835956</v>
      </c>
      <c r="P16"/>
      <c r="Q16" s="53">
        <v>0.49052997560741024</v>
      </c>
      <c r="R16" s="53">
        <v>0.30410847505505417</v>
      </c>
      <c r="S16" s="53">
        <v>0.46122888223991992</v>
      </c>
      <c r="T16" s="54">
        <v>0.5497533974550276</v>
      </c>
      <c r="U16" s="54">
        <v>0.46108049135564927</v>
      </c>
      <c r="V16"/>
      <c r="W16" s="53">
        <v>0.40050863495313888</v>
      </c>
      <c r="X16" s="53">
        <v>0.48695106124115228</v>
      </c>
      <c r="Y16" s="53">
        <v>0.38302212017889997</v>
      </c>
      <c r="Z16" s="54">
        <v>0.51574097773227545</v>
      </c>
      <c r="AA16" s="54">
        <v>0.4532061197102828</v>
      </c>
      <c r="AB16" s="32"/>
      <c r="AC16" s="53">
        <v>0.41832778637392237</v>
      </c>
      <c r="AD16" s="53">
        <v>0.37235186229553652</v>
      </c>
      <c r="AE16" s="53">
        <v>0.45207713005759997</v>
      </c>
      <c r="AF16" s="53">
        <f>AF15/AF9</f>
        <v>0.42859916196220571</v>
      </c>
      <c r="AG16" s="54">
        <v>0.42056308808164844</v>
      </c>
      <c r="AH16" s="32"/>
      <c r="AI16" s="53">
        <f>AI15/AI9</f>
        <v>0.44855466584769016</v>
      </c>
      <c r="AJ16" s="53">
        <f>AJ15/AJ9</f>
        <v>0.35506073334080884</v>
      </c>
      <c r="AK16" s="53"/>
      <c r="AL16" s="54"/>
      <c r="AM16" s="54"/>
    </row>
    <row r="17" spans="1:39" s="32" customFormat="1" ht="15.75" x14ac:dyDescent="0.25">
      <c r="E17" s="31"/>
      <c r="F17" s="31"/>
      <c r="G17" s="31"/>
      <c r="H17" s="33"/>
      <c r="I17" s="31"/>
      <c r="J17"/>
      <c r="K17" s="31"/>
      <c r="L17" s="31"/>
      <c r="M17" s="31"/>
      <c r="N17" s="31"/>
      <c r="O17" s="31"/>
      <c r="P17"/>
      <c r="Q17" s="31"/>
      <c r="R17" s="31"/>
      <c r="S17" s="31"/>
      <c r="T17" s="31"/>
      <c r="U17" s="31"/>
      <c r="V17"/>
      <c r="W17" s="31"/>
      <c r="X17" s="31"/>
      <c r="Y17" s="31"/>
      <c r="Z17" s="31"/>
      <c r="AA17" s="31"/>
      <c r="AC17" s="31"/>
      <c r="AD17" s="31"/>
      <c r="AE17" s="31"/>
      <c r="AF17" s="31"/>
      <c r="AG17" s="31"/>
      <c r="AI17" s="31"/>
      <c r="AJ17" s="31"/>
      <c r="AK17" s="31"/>
      <c r="AL17" s="31"/>
      <c r="AM17" s="31"/>
    </row>
    <row r="18" spans="1:39" s="34" customFormat="1" ht="17.25" x14ac:dyDescent="0.3">
      <c r="A18" s="35"/>
      <c r="B18" s="35"/>
      <c r="C18" s="35"/>
      <c r="E18" s="31"/>
      <c r="F18" s="31"/>
      <c r="G18" s="31"/>
      <c r="H18" s="33"/>
      <c r="I18" s="31"/>
      <c r="J18"/>
      <c r="K18" s="31"/>
      <c r="L18" s="31"/>
      <c r="M18" s="31"/>
      <c r="N18" s="31"/>
      <c r="O18" s="31"/>
      <c r="P18"/>
      <c r="Q18" s="31"/>
      <c r="R18" s="31"/>
      <c r="S18" s="31"/>
      <c r="T18" s="31"/>
      <c r="U18" s="31"/>
      <c r="V18"/>
      <c r="W18" s="31"/>
      <c r="X18" s="31"/>
      <c r="Y18" s="31"/>
      <c r="Z18" s="31"/>
      <c r="AA18" s="31"/>
      <c r="AB18" s="32"/>
      <c r="AC18" s="31"/>
      <c r="AD18" s="31"/>
      <c r="AE18" s="31"/>
      <c r="AF18" s="31"/>
      <c r="AG18" s="31"/>
      <c r="AH18" s="32"/>
      <c r="AI18" s="31"/>
      <c r="AJ18" s="31"/>
      <c r="AK18" s="31"/>
      <c r="AL18" s="31"/>
      <c r="AM18" s="31"/>
    </row>
    <row r="19" spans="1:39" s="32" customFormat="1" ht="15.75" x14ac:dyDescent="0.25">
      <c r="E19" s="31"/>
      <c r="F19" s="31"/>
      <c r="G19" s="31"/>
      <c r="H19" s="33"/>
      <c r="I19" s="31"/>
      <c r="J19"/>
      <c r="K19" s="31"/>
      <c r="L19" s="31"/>
      <c r="M19" s="31"/>
      <c r="N19" s="31"/>
      <c r="O19" s="31"/>
      <c r="P19"/>
      <c r="Q19" s="31"/>
      <c r="R19" s="31"/>
      <c r="S19" s="31"/>
      <c r="T19" s="31"/>
      <c r="U19" s="31"/>
      <c r="V19"/>
      <c r="W19" s="31"/>
      <c r="X19" s="31"/>
      <c r="Y19" s="31"/>
      <c r="Z19" s="31"/>
      <c r="AA19" s="31"/>
      <c r="AC19" s="31"/>
      <c r="AD19" s="31"/>
      <c r="AE19" s="31"/>
      <c r="AF19" s="31"/>
      <c r="AG19" s="31"/>
      <c r="AI19" s="31"/>
      <c r="AJ19" s="31"/>
      <c r="AK19" s="31"/>
      <c r="AL19" s="31"/>
      <c r="AM19" s="31"/>
    </row>
    <row r="20" spans="1:39" s="34" customFormat="1" ht="17.25" x14ac:dyDescent="0.3">
      <c r="A20" s="32"/>
      <c r="B20" s="32"/>
      <c r="C20" s="32"/>
      <c r="E20" s="31"/>
      <c r="F20" s="31"/>
      <c r="G20" s="31"/>
      <c r="H20" s="33"/>
      <c r="I20" s="31"/>
      <c r="J20"/>
      <c r="K20" s="31"/>
      <c r="L20" s="31"/>
      <c r="M20" s="31"/>
      <c r="N20" s="31"/>
      <c r="O20" s="31"/>
      <c r="P20"/>
      <c r="Q20" s="31"/>
      <c r="R20" s="31"/>
      <c r="S20" s="31"/>
      <c r="T20" s="31"/>
      <c r="U20" s="31"/>
      <c r="V20"/>
      <c r="W20" s="31"/>
      <c r="X20" s="31"/>
      <c r="Y20" s="31"/>
      <c r="Z20" s="31"/>
      <c r="AA20" s="31"/>
      <c r="AB20" s="32"/>
      <c r="AC20" s="31"/>
      <c r="AD20" s="31"/>
      <c r="AE20" s="31"/>
      <c r="AF20" s="31"/>
      <c r="AG20" s="31"/>
      <c r="AH20" s="32"/>
      <c r="AI20" s="31"/>
      <c r="AJ20" s="31"/>
      <c r="AK20" s="31"/>
      <c r="AL20" s="31"/>
      <c r="AM20" s="31"/>
    </row>
    <row r="21" spans="1:39" ht="15.75" x14ac:dyDescent="0.25">
      <c r="A21" s="32"/>
      <c r="B21" s="32"/>
      <c r="C21" s="32"/>
      <c r="E21" s="31"/>
      <c r="F21" s="31"/>
      <c r="G21" s="31"/>
      <c r="H21" s="33"/>
      <c r="I21" s="31"/>
      <c r="K21" s="31"/>
      <c r="L21" s="31"/>
      <c r="M21" s="31"/>
      <c r="N21" s="31"/>
      <c r="O21" s="31"/>
      <c r="Q21" s="31"/>
      <c r="R21" s="31"/>
      <c r="S21" s="31"/>
      <c r="T21" s="31"/>
      <c r="U21" s="31"/>
      <c r="W21" s="31"/>
      <c r="X21" s="31"/>
      <c r="Y21" s="31"/>
      <c r="Z21" s="31"/>
      <c r="AA21" s="31"/>
      <c r="AB21" s="32"/>
      <c r="AC21" s="31"/>
      <c r="AD21" s="31"/>
      <c r="AE21" s="31"/>
      <c r="AF21" s="31"/>
      <c r="AG21" s="31"/>
      <c r="AH21" s="32"/>
      <c r="AI21" s="31"/>
      <c r="AJ21" s="31"/>
      <c r="AK21" s="31"/>
      <c r="AL21" s="31"/>
      <c r="AM21" s="31"/>
    </row>
    <row r="22" spans="1:39" ht="15.75" x14ac:dyDescent="0.25">
      <c r="A22" s="32"/>
      <c r="B22" s="32"/>
      <c r="C22" s="32"/>
      <c r="E22" s="31"/>
      <c r="F22" s="31"/>
      <c r="G22" s="31"/>
      <c r="H22" s="33"/>
      <c r="I22" s="31"/>
      <c r="K22" s="31"/>
      <c r="L22" s="31"/>
      <c r="M22" s="31"/>
      <c r="N22" s="31"/>
      <c r="O22" s="31"/>
      <c r="Q22" s="31"/>
      <c r="R22" s="31"/>
      <c r="S22" s="31"/>
      <c r="T22" s="31"/>
      <c r="U22" s="31"/>
      <c r="W22" s="31"/>
      <c r="X22" s="31"/>
      <c r="Y22" s="31"/>
      <c r="Z22" s="31"/>
      <c r="AA22" s="31"/>
      <c r="AB22" s="32"/>
      <c r="AC22" s="31"/>
      <c r="AD22" s="31"/>
      <c r="AE22" s="31"/>
      <c r="AF22" s="31"/>
      <c r="AG22" s="31"/>
      <c r="AH22" s="32"/>
      <c r="AI22" s="31"/>
      <c r="AJ22" s="31"/>
      <c r="AK22" s="31"/>
      <c r="AL22" s="31"/>
      <c r="AM22" s="31"/>
    </row>
    <row r="25" spans="1:39" x14ac:dyDescent="0.25">
      <c r="H25" s="30"/>
    </row>
    <row r="26" spans="1:39" x14ac:dyDescent="0.25">
      <c r="I26" s="29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&amp;L_x000D_&amp;1#&amp;"Calibri"&amp;10&amp;K000000 Público</oddFooter>
  </headerFooter>
  <customProperties>
    <customPr name="EpmWorksheetKeyString_GU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4FB79-60BC-45B0-AB29-44B44629F8DE}">
  <sheetPr>
    <tabColor theme="9" tint="-0.499984740745262"/>
  </sheetPr>
  <dimension ref="A1:AZ17"/>
  <sheetViews>
    <sheetView showGridLines="0" zoomScale="75" zoomScaleNormal="75" workbookViewId="0">
      <pane xSplit="4" ySplit="4" topLeftCell="J5" activePane="bottomRight" state="frozen"/>
      <selection activeCell="AN19" sqref="AN19"/>
      <selection pane="topRight" activeCell="AN19" sqref="AN19"/>
      <selection pane="bottomLeft" activeCell="AN19" sqref="AN19"/>
      <selection pane="bottomRight" activeCell="AR15" sqref="AR15"/>
    </sheetView>
  </sheetViews>
  <sheetFormatPr defaultColWidth="15.7109375" defaultRowHeight="17.25" outlineLevelCol="1" x14ac:dyDescent="0.3"/>
  <cols>
    <col min="1" max="1" width="79.5703125" style="11" customWidth="1"/>
    <col min="2" max="3" width="79.5703125" style="11" hidden="1" customWidth="1"/>
    <col min="4" max="4" width="1.28515625" customWidth="1"/>
    <col min="5" max="8" width="15.7109375" style="11" hidden="1" customWidth="1" outlineLevel="1"/>
    <col min="9" max="9" width="15.7109375" style="11" collapsed="1"/>
    <col min="10" max="10" width="2.5703125" customWidth="1"/>
    <col min="11" max="14" width="15.7109375" style="11" hidden="1" customWidth="1" outlineLevel="1"/>
    <col min="15" max="15" width="15.7109375" style="11" collapsed="1"/>
    <col min="16" max="16" width="2.5703125" customWidth="1"/>
    <col min="17" max="20" width="15.7109375" style="11" hidden="1" customWidth="1" outlineLevel="1"/>
    <col min="21" max="21" width="15.7109375" style="11" collapsed="1"/>
    <col min="22" max="22" width="2.5703125" customWidth="1"/>
    <col min="23" max="26" width="15.7109375" style="11" hidden="1" customWidth="1" outlineLevel="1"/>
    <col min="27" max="27" width="15.7109375" style="11" collapsed="1"/>
    <col min="28" max="28" width="2.5703125" customWidth="1"/>
    <col min="29" max="32" width="15.7109375" style="11" hidden="1" customWidth="1" outlineLevel="1"/>
    <col min="33" max="33" width="15.7109375" style="11" collapsed="1"/>
    <col min="34" max="34" width="2.5703125" customWidth="1"/>
    <col min="35" max="38" width="15.7109375" style="11" customWidth="1" outlineLevel="1"/>
    <col min="39" max="39" width="15.7109375" style="11"/>
  </cols>
  <sheetData>
    <row r="1" spans="1:52" ht="18" customHeight="1" x14ac:dyDescent="0.3">
      <c r="A1" s="26"/>
      <c r="B1" s="26"/>
      <c r="C1" s="26"/>
      <c r="E1" s="26"/>
      <c r="F1" s="26"/>
      <c r="G1" s="26"/>
      <c r="H1" s="26"/>
      <c r="I1" s="26"/>
      <c r="J1" s="27"/>
      <c r="K1" s="26"/>
      <c r="L1" s="26"/>
      <c r="M1" s="26"/>
      <c r="N1" s="26"/>
      <c r="O1" s="26"/>
      <c r="P1" s="27"/>
      <c r="Q1" s="26"/>
      <c r="R1" s="26"/>
      <c r="S1" s="26"/>
      <c r="T1" s="26"/>
      <c r="U1" s="26"/>
      <c r="V1" s="27"/>
      <c r="W1" s="26"/>
      <c r="X1" s="26"/>
      <c r="Y1" s="26"/>
      <c r="Z1" s="26"/>
      <c r="AA1" s="26"/>
      <c r="AB1" s="27"/>
      <c r="AC1" s="26"/>
      <c r="AD1" s="26"/>
      <c r="AE1" s="26"/>
      <c r="AF1" s="26"/>
      <c r="AG1" s="26"/>
      <c r="AH1" s="27"/>
      <c r="AI1" s="26"/>
      <c r="AJ1" s="26"/>
      <c r="AK1" s="26"/>
      <c r="AL1" s="26"/>
      <c r="AM1" s="26"/>
    </row>
    <row r="2" spans="1:52" s="18" customFormat="1" ht="18" customHeight="1" x14ac:dyDescent="0.3">
      <c r="A2" s="21"/>
      <c r="B2" s="21"/>
      <c r="C2" s="21"/>
      <c r="D2" s="21"/>
      <c r="E2" s="23" t="s">
        <v>65</v>
      </c>
      <c r="F2" s="23" t="s">
        <v>64</v>
      </c>
      <c r="G2" s="23" t="s">
        <v>63</v>
      </c>
      <c r="H2" s="23" t="s">
        <v>62</v>
      </c>
      <c r="I2" s="23">
        <v>2021</v>
      </c>
      <c r="J2" s="25"/>
      <c r="K2" s="23" t="s">
        <v>61</v>
      </c>
      <c r="L2" s="23" t="s">
        <v>60</v>
      </c>
      <c r="M2" s="23" t="s">
        <v>59</v>
      </c>
      <c r="N2" s="23" t="s">
        <v>58</v>
      </c>
      <c r="O2" s="23">
        <v>2022</v>
      </c>
      <c r="P2" s="25"/>
      <c r="Q2" s="23" t="s">
        <v>57</v>
      </c>
      <c r="R2" s="23" t="s">
        <v>56</v>
      </c>
      <c r="S2" s="23" t="s">
        <v>55</v>
      </c>
      <c r="T2" s="23" t="s">
        <v>54</v>
      </c>
      <c r="U2" s="23">
        <v>2023</v>
      </c>
      <c r="V2" s="25"/>
      <c r="W2" s="23" t="s">
        <v>53</v>
      </c>
      <c r="X2" s="23" t="s">
        <v>52</v>
      </c>
      <c r="Y2" s="23" t="s">
        <v>51</v>
      </c>
      <c r="Z2" s="23" t="s">
        <v>50</v>
      </c>
      <c r="AA2" s="23">
        <v>2024</v>
      </c>
      <c r="AB2" s="25"/>
      <c r="AC2" s="23" t="s">
        <v>49</v>
      </c>
      <c r="AD2" s="23" t="s">
        <v>48</v>
      </c>
      <c r="AE2" s="23" t="s">
        <v>47</v>
      </c>
      <c r="AF2" s="23" t="s">
        <v>46</v>
      </c>
      <c r="AG2" s="23">
        <v>2025</v>
      </c>
      <c r="AH2" s="25"/>
      <c r="AI2" s="81" t="s">
        <v>442</v>
      </c>
      <c r="AJ2" s="81" t="s">
        <v>443</v>
      </c>
      <c r="AK2" s="81" t="s">
        <v>444</v>
      </c>
      <c r="AL2" s="81" t="s">
        <v>445</v>
      </c>
      <c r="AM2" s="23">
        <v>2026</v>
      </c>
    </row>
    <row r="3" spans="1:52" s="18" customFormat="1" ht="18" customHeight="1" x14ac:dyDescent="0.25">
      <c r="A3" s="21"/>
      <c r="B3" s="21"/>
      <c r="C3" s="21"/>
      <c r="D3" s="21"/>
      <c r="E3" s="23" t="s">
        <v>41</v>
      </c>
      <c r="F3" s="23" t="s">
        <v>40</v>
      </c>
      <c r="G3" s="23" t="s">
        <v>39</v>
      </c>
      <c r="H3" s="23" t="s">
        <v>38</v>
      </c>
      <c r="I3" s="23">
        <v>2021</v>
      </c>
      <c r="J3" s="24"/>
      <c r="K3" s="23" t="s">
        <v>37</v>
      </c>
      <c r="L3" s="23" t="s">
        <v>36</v>
      </c>
      <c r="M3" s="23" t="s">
        <v>35</v>
      </c>
      <c r="N3" s="23" t="s">
        <v>34</v>
      </c>
      <c r="O3" s="23">
        <v>2022</v>
      </c>
      <c r="P3" s="24"/>
      <c r="Q3" s="23" t="s">
        <v>33</v>
      </c>
      <c r="R3" s="23" t="s">
        <v>32</v>
      </c>
      <c r="S3" s="23" t="s">
        <v>31</v>
      </c>
      <c r="T3" s="23" t="s">
        <v>30</v>
      </c>
      <c r="U3" s="23">
        <v>2023</v>
      </c>
      <c r="V3" s="24"/>
      <c r="W3" s="23" t="s">
        <v>29</v>
      </c>
      <c r="X3" s="23" t="s">
        <v>28</v>
      </c>
      <c r="Y3" s="23" t="s">
        <v>27</v>
      </c>
      <c r="Z3" s="23" t="s">
        <v>26</v>
      </c>
      <c r="AA3" s="23">
        <v>2024</v>
      </c>
      <c r="AB3" s="24"/>
      <c r="AC3" s="23" t="s">
        <v>25</v>
      </c>
      <c r="AD3" s="23" t="s">
        <v>24</v>
      </c>
      <c r="AE3" s="23" t="s">
        <v>23</v>
      </c>
      <c r="AF3" s="23" t="s">
        <v>438</v>
      </c>
      <c r="AG3" s="23">
        <v>2025</v>
      </c>
      <c r="AH3" s="24"/>
      <c r="AI3" s="84" t="s">
        <v>446</v>
      </c>
      <c r="AJ3" s="84" t="s">
        <v>451</v>
      </c>
      <c r="AK3" s="84" t="s">
        <v>22</v>
      </c>
      <c r="AL3" s="84" t="s">
        <v>452</v>
      </c>
      <c r="AM3" s="23">
        <v>2026</v>
      </c>
    </row>
    <row r="4" spans="1:52" s="18" customFormat="1" ht="20.100000000000001" customHeight="1" thickBot="1" x14ac:dyDescent="0.3">
      <c r="A4" s="22"/>
      <c r="B4" s="22"/>
      <c r="C4" s="22"/>
      <c r="D4" s="21"/>
      <c r="E4" s="20" t="str">
        <f>IF(Menu!$D$7="Português/Portuguese",E2,E3)</f>
        <v>1T21</v>
      </c>
      <c r="F4" s="20" t="str">
        <f>IF(Menu!$D$7="Português/Portuguese",F2,F3)</f>
        <v>2T21</v>
      </c>
      <c r="G4" s="20" t="str">
        <f>IF(Menu!$D$7="Português/Portuguese",G2,G3)</f>
        <v>3T21</v>
      </c>
      <c r="H4" s="20" t="str">
        <f>IF(Menu!$D$7="Português/Portuguese",H2,H3)</f>
        <v>4T21</v>
      </c>
      <c r="I4" s="19">
        <f>IF(Menu!$D$7="Português/Portuguese",I2,I3)</f>
        <v>2021</v>
      </c>
      <c r="J4" s="32"/>
      <c r="K4" s="20" t="str">
        <f>IF(Menu!$D$7="Português/Portuguese",K2,K3)</f>
        <v>1T22</v>
      </c>
      <c r="L4" s="20" t="str">
        <f>IF(Menu!$D$7="Português/Portuguese",L2,L3)</f>
        <v>2T22</v>
      </c>
      <c r="M4" s="20" t="str">
        <f>IF(Menu!$D$7="Português/Portuguese",M2,M3)</f>
        <v>3T22</v>
      </c>
      <c r="N4" s="20" t="str">
        <f>IF(Menu!$D$7="Português/Portuguese",N2,N3)</f>
        <v>4T22</v>
      </c>
      <c r="O4" s="19">
        <f>IF(Menu!$D$7="Português/Portuguese",O2,O3)</f>
        <v>2022</v>
      </c>
      <c r="P4" s="32"/>
      <c r="Q4" s="20" t="str">
        <f>IF(Menu!$D$7="Português/Portuguese",Q2,Q3)</f>
        <v>1T23</v>
      </c>
      <c r="R4" s="20" t="str">
        <f>IF(Menu!$D$7="Português/Portuguese",R2,R3)</f>
        <v>2T23</v>
      </c>
      <c r="S4" s="20" t="str">
        <f>IF(Menu!$D$7="Português/Portuguese",S2,S3)</f>
        <v>3T23</v>
      </c>
      <c r="T4" s="20" t="str">
        <f>IF(Menu!$D$7="Português/Portuguese",T2,T3)</f>
        <v>4T23</v>
      </c>
      <c r="U4" s="19">
        <f>IF(Menu!$D$7="Português/Portuguese",U2,U3)</f>
        <v>2023</v>
      </c>
      <c r="V4" s="32"/>
      <c r="W4" s="20" t="str">
        <f>IF(Menu!$D$7="Português/Portuguese",W2,W3)</f>
        <v>1T24</v>
      </c>
      <c r="X4" s="20" t="str">
        <f>IF(Menu!$D$7="Português/Portuguese",X2,X3)</f>
        <v>2T24</v>
      </c>
      <c r="Y4" s="20" t="str">
        <f>IF(Menu!$D$7="Português/Portuguese",Y2,Y3)</f>
        <v>3T24</v>
      </c>
      <c r="Z4" s="20" t="str">
        <f>IF(Menu!$D$7="Português/Portuguese",Z2,Z3)</f>
        <v>4T24</v>
      </c>
      <c r="AA4" s="19">
        <f>IF(Menu!$D$7="Português/Portuguese",AA2,AA3)</f>
        <v>2024</v>
      </c>
      <c r="AB4"/>
      <c r="AC4" s="20" t="str">
        <f>IF(Menu!$D$7="Português/Portuguese",AC2,AC3)</f>
        <v>1T25</v>
      </c>
      <c r="AD4" s="20" t="str">
        <f>IF(Menu!$D$7="Português/Portuguese",AD2,AD3)</f>
        <v>2T25</v>
      </c>
      <c r="AE4" s="20" t="str">
        <f>IF(Menu!$D$7="Português/Portuguese",AE2,AE3)</f>
        <v>3T25</v>
      </c>
      <c r="AF4" s="20" t="str">
        <f>IF(Menu!$D$7="Português/Portuguese",AF2,AF3)</f>
        <v>4T25</v>
      </c>
      <c r="AG4" s="19">
        <f>IF(Menu!$D$7="Português/Portuguese",AG2,AG3)</f>
        <v>2025</v>
      </c>
      <c r="AH4"/>
      <c r="AI4" s="20" t="str">
        <f>IF(Menu!$D$7="Português/Portuguese",AI2,AI3)</f>
        <v>1T26</v>
      </c>
      <c r="AJ4" s="20" t="str">
        <f>IF(Menu!$D$7="Português/Portuguese",AJ2,AJ3)</f>
        <v>2T26</v>
      </c>
      <c r="AK4" s="20" t="str">
        <f>IF(Menu!$D$7="Português/Portuguese",AK2,AK3)</f>
        <v>3T26</v>
      </c>
      <c r="AL4" s="20" t="str">
        <f>IF(Menu!$D$7="Português/Portuguese",AL2,AL3)</f>
        <v>4T26</v>
      </c>
      <c r="AM4" s="19">
        <f>IF(Menu!$D$7="Português/Portuguese",AM2,AM3)</f>
        <v>2026</v>
      </c>
    </row>
    <row r="5" spans="1:52" ht="2.25" customHeight="1" x14ac:dyDescent="0.25">
      <c r="A5" s="17"/>
      <c r="B5" s="17"/>
      <c r="C5" s="17"/>
      <c r="E5" s="17"/>
      <c r="F5" s="17"/>
      <c r="G5" s="17"/>
      <c r="H5" s="17"/>
      <c r="I5" s="17"/>
      <c r="K5" s="17"/>
      <c r="L5" s="17"/>
      <c r="M5" s="17"/>
      <c r="N5" s="17"/>
      <c r="O5" s="17"/>
      <c r="Q5" s="17"/>
      <c r="R5" s="17"/>
      <c r="S5" s="17"/>
      <c r="T5" s="17"/>
      <c r="U5" s="17"/>
      <c r="W5" s="17"/>
      <c r="X5" s="17"/>
      <c r="Y5" s="17"/>
      <c r="Z5" s="17"/>
      <c r="AA5" s="17"/>
      <c r="AC5" s="17"/>
      <c r="AD5" s="17"/>
      <c r="AE5" s="17"/>
      <c r="AF5" s="17"/>
      <c r="AG5" s="17"/>
      <c r="AI5" s="17"/>
      <c r="AJ5" s="17"/>
      <c r="AK5" s="17"/>
      <c r="AL5" s="17"/>
      <c r="AM5" s="17"/>
    </row>
    <row r="6" spans="1:52" ht="18" x14ac:dyDescent="0.25">
      <c r="A6" s="13" t="str">
        <f>IF(Menu!$D$7="Português/Portuguese",B6,C6)</f>
        <v>Volume de Produção + Compras (mil toneladas)</v>
      </c>
      <c r="B6" s="13" t="s">
        <v>21</v>
      </c>
      <c r="C6" s="13" t="s">
        <v>20</v>
      </c>
      <c r="E6" s="13"/>
      <c r="F6" s="13"/>
      <c r="G6" s="13"/>
      <c r="H6" s="13"/>
      <c r="I6" s="13"/>
      <c r="K6" s="13"/>
      <c r="L6" s="13"/>
      <c r="M6" s="13"/>
      <c r="N6" s="13"/>
      <c r="O6" s="13"/>
      <c r="Q6" s="13"/>
      <c r="R6" s="13"/>
      <c r="S6" s="13"/>
      <c r="T6" s="13"/>
      <c r="U6" s="13"/>
      <c r="W6" s="13"/>
      <c r="X6" s="13"/>
      <c r="Y6" s="13"/>
      <c r="Z6" s="13"/>
      <c r="AA6" s="13"/>
      <c r="AC6" s="13"/>
      <c r="AD6" s="13"/>
      <c r="AE6" s="13"/>
      <c r="AF6" s="13"/>
      <c r="AG6" s="13"/>
      <c r="AI6" s="13"/>
      <c r="AJ6" s="13"/>
      <c r="AK6" s="13"/>
      <c r="AL6" s="13"/>
      <c r="AM6" s="13"/>
    </row>
    <row r="7" spans="1:52" x14ac:dyDescent="0.3">
      <c r="A7" s="12" t="str">
        <f>IF(Menu!$D$7="Português/Portuguese",B7,C7)</f>
        <v>Volume de Produção + Compras (mil toneladas)</v>
      </c>
      <c r="B7" s="16" t="s">
        <v>21</v>
      </c>
      <c r="C7" s="16" t="s">
        <v>20</v>
      </c>
      <c r="E7" s="16">
        <v>8276.0190949999997</v>
      </c>
      <c r="F7" s="16">
        <v>10571.321679999999</v>
      </c>
      <c r="G7" s="16">
        <v>10308.735786000001</v>
      </c>
      <c r="H7" s="16">
        <v>6919.126189999999</v>
      </c>
      <c r="I7" s="57">
        <f>SUM(E7:H7)</f>
        <v>36075.202750999997</v>
      </c>
      <c r="K7" s="16">
        <v>6468.2911880000001</v>
      </c>
      <c r="L7" s="16">
        <v>8299.0815899999998</v>
      </c>
      <c r="M7" s="16">
        <v>9611.3117600000005</v>
      </c>
      <c r="N7" s="16">
        <v>9341.9544100000003</v>
      </c>
      <c r="O7" s="57">
        <f>SUM(K7:N7)</f>
        <v>33720.638948</v>
      </c>
      <c r="Q7" s="16">
        <v>8941.2103299999999</v>
      </c>
      <c r="R7" s="16">
        <v>11145.120909999998</v>
      </c>
      <c r="S7" s="16">
        <v>11576.7565</v>
      </c>
      <c r="T7" s="16">
        <v>10919.50966</v>
      </c>
      <c r="U7" s="57">
        <f>SUM(Q7:T7)</f>
        <v>42582.597399999999</v>
      </c>
      <c r="W7" s="16">
        <v>9150.0805</v>
      </c>
      <c r="X7" s="16">
        <v>10412.882010000001</v>
      </c>
      <c r="Y7" s="16">
        <v>11436.553832000001</v>
      </c>
      <c r="Z7" s="16">
        <v>11010.08052</v>
      </c>
      <c r="AA7" s="57">
        <f>SUM(W7:Z7)</f>
        <v>42009.596862000006</v>
      </c>
      <c r="AC7" s="16">
        <v>10206.341156999999</v>
      </c>
      <c r="AD7" s="16">
        <v>11590.654350000001</v>
      </c>
      <c r="AE7" s="16">
        <v>11910.790580999999</v>
      </c>
      <c r="AF7" s="16">
        <v>11813.295926999999</v>
      </c>
      <c r="AG7" s="57">
        <f>SUM(AC7:AF7)</f>
        <v>45521.082015</v>
      </c>
      <c r="AI7" s="16">
        <v>10058</v>
      </c>
      <c r="AJ7" s="16">
        <v>10880</v>
      </c>
      <c r="AK7" s="16"/>
      <c r="AL7" s="16"/>
      <c r="AM7" s="57">
        <f>SUM(AI7:AL7)</f>
        <v>20938</v>
      </c>
    </row>
    <row r="8" spans="1:52" ht="18" x14ac:dyDescent="0.25">
      <c r="A8" s="13" t="str">
        <f>IF(Menu!$D$7="Português/Portuguese",B8,C8)</f>
        <v>Volume de Vendas de Minério (mil toneladas)</v>
      </c>
      <c r="B8" s="13" t="s">
        <v>19</v>
      </c>
      <c r="C8" s="13" t="s">
        <v>18</v>
      </c>
      <c r="E8" s="13"/>
      <c r="F8" s="13"/>
      <c r="G8" s="13"/>
      <c r="H8" s="13"/>
      <c r="I8" s="13"/>
      <c r="K8" s="13"/>
      <c r="L8" s="13"/>
      <c r="M8" s="13"/>
      <c r="N8" s="13"/>
      <c r="O8" s="13"/>
      <c r="Q8" s="13"/>
      <c r="R8" s="13"/>
      <c r="S8" s="13"/>
      <c r="T8" s="13"/>
      <c r="U8" s="13"/>
      <c r="W8" s="13"/>
      <c r="X8" s="13"/>
      <c r="Y8" s="13"/>
      <c r="Z8" s="13"/>
      <c r="AA8" s="13"/>
      <c r="AC8" s="13"/>
      <c r="AD8" s="13"/>
      <c r="AE8" s="13"/>
      <c r="AF8" s="13"/>
      <c r="AG8" s="13"/>
      <c r="AI8" s="13"/>
      <c r="AJ8" s="13"/>
      <c r="AK8" s="13"/>
      <c r="AL8" s="13"/>
      <c r="AM8" s="13"/>
    </row>
    <row r="9" spans="1:52" x14ac:dyDescent="0.3">
      <c r="A9" s="12" t="str">
        <f>IF(Menu!$D$7="Português/Portuguese",B9,C9)</f>
        <v xml:space="preserve">Mercado Interno </v>
      </c>
      <c r="B9" s="11" t="s">
        <v>17</v>
      </c>
      <c r="C9" s="11" t="s">
        <v>16</v>
      </c>
      <c r="E9" s="58">
        <v>1286.0246999999999</v>
      </c>
      <c r="F9" s="58">
        <v>1174.3583999999998</v>
      </c>
      <c r="G9" s="58">
        <v>1269.4237260000002</v>
      </c>
      <c r="H9" s="58">
        <v>1189.9310799999998</v>
      </c>
      <c r="I9" s="58">
        <v>4919.7379060000003</v>
      </c>
      <c r="K9" s="58">
        <v>1110.6890100000001</v>
      </c>
      <c r="L9" s="58">
        <v>866.77326999999991</v>
      </c>
      <c r="M9" s="58">
        <v>1121.8012499999998</v>
      </c>
      <c r="N9" s="58">
        <v>1037.78172</v>
      </c>
      <c r="O9" s="58">
        <f>SUM(K9:N9)</f>
        <v>4137.0452499999992</v>
      </c>
      <c r="Q9" s="58">
        <v>665.90597000000002</v>
      </c>
      <c r="R9" s="58">
        <v>1003.1655300000002</v>
      </c>
      <c r="S9" s="58">
        <v>1765.4379099999992</v>
      </c>
      <c r="T9" s="58">
        <v>1558.119152</v>
      </c>
      <c r="U9" s="58">
        <v>4992.6285619999999</v>
      </c>
      <c r="W9" s="58">
        <v>1021.8334800000001</v>
      </c>
      <c r="X9" s="58">
        <v>859.04771400000004</v>
      </c>
      <c r="Y9" s="58">
        <v>1105.7402180000001</v>
      </c>
      <c r="Z9" s="58">
        <v>1053.6083699999999</v>
      </c>
      <c r="AA9" s="150">
        <f>SUM(W9:Z9)</f>
        <v>4040.2297820000003</v>
      </c>
      <c r="AC9" s="150">
        <v>1039.835</v>
      </c>
      <c r="AD9" s="150">
        <v>1067.366</v>
      </c>
      <c r="AE9" s="150">
        <v>976.8578</v>
      </c>
      <c r="AF9" s="150">
        <v>944.96660900000006</v>
      </c>
      <c r="AG9" s="150">
        <f>SUM(AC9:AF9)</f>
        <v>4029.0254089999999</v>
      </c>
      <c r="AI9" s="58">
        <v>737</v>
      </c>
      <c r="AJ9" s="58">
        <v>1346</v>
      </c>
      <c r="AK9" s="58"/>
      <c r="AL9" s="58"/>
      <c r="AM9" s="150">
        <f>SUM(AI9:AL9)</f>
        <v>2083</v>
      </c>
    </row>
    <row r="10" spans="1:52" x14ac:dyDescent="0.3">
      <c r="A10" s="12" t="str">
        <f>IF(Menu!$D$7="Português/Portuguese",B10,C10)</f>
        <v xml:space="preserve">Mercado Externo </v>
      </c>
      <c r="B10" s="11" t="s">
        <v>15</v>
      </c>
      <c r="C10" s="11" t="s">
        <v>14</v>
      </c>
      <c r="E10" s="59">
        <v>6939</v>
      </c>
      <c r="F10" s="59">
        <v>7935.6239999999998</v>
      </c>
      <c r="G10" s="59">
        <v>6913.9629999999997</v>
      </c>
      <c r="H10" s="59">
        <v>6528.7030000000004</v>
      </c>
      <c r="I10" s="59">
        <v>28317.29</v>
      </c>
      <c r="K10" s="59">
        <v>5820.6989999999996</v>
      </c>
      <c r="L10" s="59">
        <v>6707.1230000000005</v>
      </c>
      <c r="M10" s="59">
        <v>7973.05</v>
      </c>
      <c r="N10" s="59">
        <v>8691.1699999999983</v>
      </c>
      <c r="O10" s="58">
        <f>SUM(K10:N10)</f>
        <v>29192.041999999998</v>
      </c>
      <c r="Q10" s="59">
        <v>7951.8090000000002</v>
      </c>
      <c r="R10" s="59">
        <v>10254.846000000001</v>
      </c>
      <c r="S10" s="59">
        <v>9875.9779999999992</v>
      </c>
      <c r="T10" s="59">
        <v>9585.8869999999988</v>
      </c>
      <c r="U10" s="59">
        <v>37668.520000000004</v>
      </c>
      <c r="W10" s="59">
        <v>8123.4749999999995</v>
      </c>
      <c r="X10" s="59">
        <v>9933.1820000000007</v>
      </c>
      <c r="Y10" s="59">
        <v>10778.244000000001</v>
      </c>
      <c r="Z10" s="59">
        <v>9677.2250000000004</v>
      </c>
      <c r="AA10" s="150">
        <f>SUM(W10:Z10)</f>
        <v>38512.125999999997</v>
      </c>
      <c r="AC10" s="151">
        <v>8599.9320000000007</v>
      </c>
      <c r="AD10" s="151">
        <v>10765.17</v>
      </c>
      <c r="AE10" s="151">
        <v>11418.697</v>
      </c>
      <c r="AF10" s="151">
        <v>11036.319000000001</v>
      </c>
      <c r="AG10" s="150">
        <f>SUM(AC10:AF10)</f>
        <v>41820.118000000002</v>
      </c>
      <c r="AI10" s="59">
        <v>8899</v>
      </c>
      <c r="AJ10" s="59">
        <v>10503</v>
      </c>
      <c r="AK10" s="59"/>
      <c r="AL10" s="59"/>
      <c r="AM10" s="150"/>
    </row>
    <row r="11" spans="1:52" s="39" customFormat="1" ht="15" customHeight="1" x14ac:dyDescent="0.25">
      <c r="A11" s="15" t="str">
        <f>IF(Menu!$D$7="Português/Portuguese",B11,C11)</f>
        <v>Total de Vendas</v>
      </c>
      <c r="B11" s="15" t="s">
        <v>271</v>
      </c>
      <c r="C11" s="15" t="s">
        <v>272</v>
      </c>
      <c r="D11"/>
      <c r="E11" s="60">
        <v>8225.0246999999999</v>
      </c>
      <c r="F11" s="60">
        <v>9109.982399999999</v>
      </c>
      <c r="G11" s="60">
        <v>8183.3867259999997</v>
      </c>
      <c r="H11" s="60">
        <v>7718.6340799999998</v>
      </c>
      <c r="I11" s="60">
        <v>33237.027906000003</v>
      </c>
      <c r="J11"/>
      <c r="K11" s="60">
        <v>6931.3880099999997</v>
      </c>
      <c r="L11" s="60">
        <v>7573.8962700000002</v>
      </c>
      <c r="M11" s="60">
        <v>9094.8512499999997</v>
      </c>
      <c r="N11" s="60">
        <v>9728.9517199999973</v>
      </c>
      <c r="O11" s="60">
        <f>SUM(K11:N11)</f>
        <v>33329.087249999997</v>
      </c>
      <c r="P11"/>
      <c r="Q11" s="60">
        <v>8617.7149700000009</v>
      </c>
      <c r="R11" s="60">
        <v>11258.011530000002</v>
      </c>
      <c r="S11" s="60">
        <v>11641.415909999998</v>
      </c>
      <c r="T11" s="60">
        <v>11144.006151999998</v>
      </c>
      <c r="U11" s="60">
        <v>42661.148562000002</v>
      </c>
      <c r="V11"/>
      <c r="W11" s="60">
        <v>9145.3084799999997</v>
      </c>
      <c r="X11" s="60">
        <v>10792.229714000001</v>
      </c>
      <c r="Y11" s="60">
        <v>11883.984218000001</v>
      </c>
      <c r="Z11" s="60">
        <v>10730.83337</v>
      </c>
      <c r="AA11" s="60">
        <f>SUM(W11:Z11)</f>
        <v>42552.355781999999</v>
      </c>
      <c r="AC11" s="60">
        <v>9639.7669999999998</v>
      </c>
      <c r="AD11" s="60">
        <v>11832.536</v>
      </c>
      <c r="AE11" s="60">
        <v>12395.5548</v>
      </c>
      <c r="AF11" s="60">
        <v>11981.285609000002</v>
      </c>
      <c r="AG11" s="60">
        <f>SUM(AC11:AF11)</f>
        <v>45849.143408999997</v>
      </c>
      <c r="AI11" s="60">
        <v>9636</v>
      </c>
      <c r="AJ11" s="60">
        <f>SUM(AJ9:AJ10)</f>
        <v>11849</v>
      </c>
      <c r="AK11" s="60"/>
      <c r="AL11" s="60"/>
      <c r="AM11" s="60">
        <f>SUM(AI11:AL11)</f>
        <v>21485</v>
      </c>
    </row>
    <row r="12" spans="1:52" ht="18" x14ac:dyDescent="0.25">
      <c r="A12" s="13" t="str">
        <f>IF(Menu!$D$7="Português/Portuguese",B12,C12)</f>
        <v>Platts (US$)</v>
      </c>
      <c r="B12" s="13" t="s">
        <v>13</v>
      </c>
      <c r="C12" s="13" t="s">
        <v>13</v>
      </c>
      <c r="E12" s="13"/>
      <c r="F12" s="13"/>
      <c r="G12" s="13"/>
      <c r="H12" s="13"/>
      <c r="I12" s="13"/>
      <c r="K12" s="13"/>
      <c r="L12" s="13"/>
      <c r="M12" s="13"/>
      <c r="N12" s="13"/>
      <c r="O12" s="13"/>
      <c r="Q12" s="13"/>
      <c r="R12" s="13"/>
      <c r="S12" s="13"/>
      <c r="T12" s="13"/>
      <c r="U12" s="13"/>
      <c r="W12" s="13"/>
      <c r="X12" s="13"/>
      <c r="Y12" s="13"/>
      <c r="Z12" s="13"/>
      <c r="AA12" s="13"/>
      <c r="AC12" s="13"/>
      <c r="AD12" s="13"/>
      <c r="AE12" s="13"/>
      <c r="AF12" s="13"/>
      <c r="AG12" s="13"/>
      <c r="AI12" s="13"/>
      <c r="AJ12" s="13"/>
      <c r="AK12" s="13"/>
      <c r="AL12" s="13"/>
      <c r="AM12" s="13"/>
    </row>
    <row r="13" spans="1:52" x14ac:dyDescent="0.3">
      <c r="A13" s="12" t="str">
        <f>IF(Menu!$D$7="Português/Portuguese",B13,C13)</f>
        <v>Platts (IODEX, Fe62%, Norte da China) (US$)</v>
      </c>
      <c r="B13" s="12" t="s">
        <v>12</v>
      </c>
      <c r="C13" s="12" t="s">
        <v>11</v>
      </c>
      <c r="E13" s="64">
        <v>166.9</v>
      </c>
      <c r="F13" s="64">
        <v>200.01</v>
      </c>
      <c r="G13" s="64">
        <v>162.94</v>
      </c>
      <c r="H13" s="64">
        <v>109.61</v>
      </c>
      <c r="I13" s="12"/>
      <c r="K13" s="64">
        <v>141.6</v>
      </c>
      <c r="L13" s="64">
        <v>137.9</v>
      </c>
      <c r="M13" s="64">
        <v>103.31</v>
      </c>
      <c r="N13" s="64">
        <v>98.99</v>
      </c>
      <c r="O13" s="12"/>
      <c r="Q13" s="64">
        <v>125.51</v>
      </c>
      <c r="R13" s="64">
        <v>110.9</v>
      </c>
      <c r="S13" s="64">
        <v>114</v>
      </c>
      <c r="T13" s="64">
        <v>128.30000000000001</v>
      </c>
      <c r="U13" s="12"/>
      <c r="W13" s="61">
        <v>123.56</v>
      </c>
      <c r="X13" s="61">
        <v>111.8</v>
      </c>
      <c r="Y13" s="61">
        <v>99.7</v>
      </c>
      <c r="Z13" s="61">
        <v>103.4</v>
      </c>
      <c r="AA13" s="69">
        <v>108.8</v>
      </c>
      <c r="AC13" s="61">
        <v>103.6</v>
      </c>
      <c r="AD13" s="61">
        <v>97.8</v>
      </c>
      <c r="AE13" s="61">
        <v>102.3</v>
      </c>
      <c r="AF13" s="61">
        <v>106</v>
      </c>
      <c r="AG13" s="68">
        <v>102.3</v>
      </c>
      <c r="AI13" s="61">
        <v>104</v>
      </c>
      <c r="AJ13" s="61">
        <v>105.29</v>
      </c>
      <c r="AK13" s="61"/>
      <c r="AL13" s="61"/>
      <c r="AM13" s="68"/>
      <c r="AZ13" s="14"/>
    </row>
    <row r="14" spans="1:52" ht="18" x14ac:dyDescent="0.25">
      <c r="A14" s="13" t="str">
        <f>IF(Menu!$D$7="Português/Portuguese",B14,C14)</f>
        <v>Custo C1 (US$)</v>
      </c>
      <c r="B14" s="13" t="s">
        <v>9</v>
      </c>
      <c r="C14" s="13" t="s">
        <v>10</v>
      </c>
      <c r="E14" s="13"/>
      <c r="F14" s="13"/>
      <c r="G14" s="13"/>
      <c r="H14" s="13"/>
      <c r="I14" s="13"/>
      <c r="K14" s="13"/>
      <c r="L14" s="13"/>
      <c r="M14" s="13"/>
      <c r="N14" s="13"/>
      <c r="O14" s="13"/>
      <c r="Q14" s="13"/>
      <c r="R14" s="13"/>
      <c r="S14" s="13"/>
      <c r="T14" s="13"/>
      <c r="U14" s="13"/>
      <c r="W14" s="13"/>
      <c r="X14" s="13"/>
      <c r="Y14" s="13"/>
      <c r="Z14" s="13"/>
      <c r="AA14" s="13"/>
      <c r="AC14" s="13"/>
      <c r="AD14" s="13"/>
      <c r="AE14" s="13"/>
      <c r="AF14" s="13"/>
      <c r="AG14" s="13"/>
      <c r="AI14" s="13"/>
      <c r="AJ14" s="13"/>
      <c r="AK14" s="13"/>
      <c r="AL14" s="13"/>
      <c r="AM14" s="13"/>
    </row>
    <row r="15" spans="1:52" x14ac:dyDescent="0.3">
      <c r="A15" s="12" t="str">
        <f>IF(Menu!$D$7="Português/Portuguese",B15,C15)</f>
        <v>Custo C1 (US$)</v>
      </c>
      <c r="B15" s="11" t="s">
        <v>9</v>
      </c>
      <c r="C15" s="11" t="s">
        <v>8</v>
      </c>
      <c r="E15" s="65">
        <v>18.2</v>
      </c>
      <c r="F15" s="65">
        <v>19.899999999999999</v>
      </c>
      <c r="G15" s="65">
        <v>18.8</v>
      </c>
      <c r="H15" s="65">
        <v>21.6</v>
      </c>
      <c r="K15" s="65">
        <v>22.9</v>
      </c>
      <c r="L15" s="65">
        <v>24.3</v>
      </c>
      <c r="M15" s="65">
        <v>19.399999999999999</v>
      </c>
      <c r="N15" s="61">
        <v>21.273700991523999</v>
      </c>
      <c r="Q15" s="65">
        <v>22.9</v>
      </c>
      <c r="R15" s="61">
        <v>21.772323750932671</v>
      </c>
      <c r="S15" s="65">
        <v>21.34</v>
      </c>
      <c r="T15" s="61">
        <v>22.5</v>
      </c>
      <c r="W15" s="62">
        <v>23.5</v>
      </c>
      <c r="X15" s="62">
        <v>21.2</v>
      </c>
      <c r="Y15" s="62">
        <v>19.2</v>
      </c>
      <c r="Z15" s="62">
        <v>20.399999999999999</v>
      </c>
      <c r="AA15" s="69">
        <v>21</v>
      </c>
      <c r="AC15" s="67">
        <v>21</v>
      </c>
      <c r="AD15" s="65">
        <v>20.8</v>
      </c>
      <c r="AE15" s="65">
        <v>21.1</v>
      </c>
      <c r="AF15" s="65">
        <v>23.4</v>
      </c>
      <c r="AG15" s="68">
        <v>21.5</v>
      </c>
      <c r="AI15" s="67">
        <v>23.1</v>
      </c>
      <c r="AJ15" s="65">
        <v>24</v>
      </c>
      <c r="AK15" s="65"/>
      <c r="AL15" s="65"/>
      <c r="AM15" s="68"/>
    </row>
    <row r="16" spans="1:52" ht="18" x14ac:dyDescent="0.25">
      <c r="A16" s="13" t="str">
        <f>IF(Menu!$D$7="Português/Portuguese",B16,C16)</f>
        <v>Receita Líquida Unitária (US$/wmt)</v>
      </c>
      <c r="B16" s="13" t="s">
        <v>7</v>
      </c>
      <c r="C16" s="13" t="s">
        <v>6</v>
      </c>
      <c r="E16" s="13"/>
      <c r="F16" s="13"/>
      <c r="G16" s="13"/>
      <c r="H16" s="13"/>
      <c r="I16" s="13"/>
      <c r="K16" s="13"/>
      <c r="L16" s="13"/>
      <c r="M16" s="13"/>
      <c r="N16" s="13"/>
      <c r="O16" s="13"/>
      <c r="Q16" s="13"/>
      <c r="R16" s="13"/>
      <c r="S16" s="13"/>
      <c r="T16" s="13"/>
      <c r="U16" s="13"/>
      <c r="W16" s="13"/>
      <c r="X16" s="13"/>
      <c r="Y16" s="13"/>
      <c r="Z16" s="13"/>
      <c r="AA16" s="13"/>
      <c r="AC16" s="13"/>
      <c r="AD16" s="13"/>
      <c r="AE16" s="13"/>
      <c r="AF16" s="13"/>
      <c r="AG16" s="13"/>
      <c r="AI16" s="13"/>
      <c r="AJ16" s="13"/>
      <c r="AK16" s="13"/>
      <c r="AL16" s="13"/>
      <c r="AM16" s="13"/>
    </row>
    <row r="17" spans="1:39" x14ac:dyDescent="0.3">
      <c r="A17" s="12" t="str">
        <f>IF(Menu!$D$7="Português/Portuguese",B17,C17)</f>
        <v>Receita Líquida Unitária (US$/wmt)</v>
      </c>
      <c r="B17" s="11" t="s">
        <v>7</v>
      </c>
      <c r="C17" s="11" t="s">
        <v>6</v>
      </c>
      <c r="E17" s="61">
        <v>121.67</v>
      </c>
      <c r="F17" s="61">
        <v>153.10450210597338</v>
      </c>
      <c r="G17" s="61">
        <v>65.03</v>
      </c>
      <c r="H17" s="61">
        <v>55.38</v>
      </c>
      <c r="I17" s="66">
        <v>100.83</v>
      </c>
      <c r="K17" s="61">
        <v>106.97</v>
      </c>
      <c r="L17" s="61">
        <v>71.180000000000007</v>
      </c>
      <c r="M17" s="61">
        <v>52.780667738793412</v>
      </c>
      <c r="N17" s="61">
        <v>68.811000923690131</v>
      </c>
      <c r="O17" s="66">
        <v>72.92</v>
      </c>
      <c r="Q17" s="61">
        <v>91.786879453827154</v>
      </c>
      <c r="R17" s="61">
        <v>65.648175745099664</v>
      </c>
      <c r="S17" s="61">
        <v>75.230286051681418</v>
      </c>
      <c r="T17" s="61">
        <v>91.423855909622688</v>
      </c>
      <c r="U17" s="63">
        <v>80.3</v>
      </c>
      <c r="V17" s="28"/>
      <c r="W17" s="61">
        <v>61.954497633043026</v>
      </c>
      <c r="X17" s="61">
        <v>58.636041735053247</v>
      </c>
      <c r="Y17" s="61">
        <v>45.897758498113461</v>
      </c>
      <c r="Z17" s="61">
        <v>61.70986145579969</v>
      </c>
      <c r="AA17" s="63">
        <v>56.5</v>
      </c>
      <c r="AB17" s="28"/>
      <c r="AC17" s="61">
        <v>61.960013614289473</v>
      </c>
      <c r="AD17" s="61">
        <v>51.904556437545146</v>
      </c>
      <c r="AE17" s="61">
        <v>65.674379290197308</v>
      </c>
      <c r="AF17" s="61">
        <v>63.283276078510532</v>
      </c>
      <c r="AG17" s="63">
        <v>59.4</v>
      </c>
      <c r="AH17" s="28"/>
      <c r="AI17" s="61">
        <v>62.6</v>
      </c>
      <c r="AJ17" s="61">
        <v>49.09</v>
      </c>
      <c r="AK17" s="61"/>
      <c r="AL17" s="61"/>
      <c r="AM17" s="63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&amp;L_x000D_&amp;1#&amp;"Calibri"&amp;10&amp;K000000 Público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54CF3-87B8-4C4A-A1B0-819A25C6741D}">
  <sheetPr>
    <tabColor theme="9" tint="0.39997558519241921"/>
  </sheetPr>
  <dimension ref="A1:AB20"/>
  <sheetViews>
    <sheetView showGridLines="0" zoomScale="69" zoomScaleNormal="69" workbookViewId="0">
      <pane xSplit="4" ySplit="4" topLeftCell="E7" activePane="bottomRight" state="frozen"/>
      <selection activeCell="AN19" sqref="AN19"/>
      <selection pane="topRight" activeCell="AN19" sqref="AN19"/>
      <selection pane="bottomLeft" activeCell="AN19" sqref="AN19"/>
      <selection pane="bottomRight" activeCell="E17" sqref="E17"/>
    </sheetView>
  </sheetViews>
  <sheetFormatPr defaultColWidth="15.7109375" defaultRowHeight="17.25" x14ac:dyDescent="0.3"/>
  <cols>
    <col min="1" max="1" width="79.5703125" style="11" customWidth="1"/>
    <col min="2" max="3" width="79.5703125" style="11" hidden="1" customWidth="1"/>
    <col min="4" max="4" width="1.28515625" customWidth="1"/>
    <col min="5" max="9" width="15.7109375" style="27"/>
    <col min="10" max="11" width="16.5703125" style="27" bestFit="1" customWidth="1"/>
    <col min="12" max="12" width="15.7109375" style="27"/>
    <col min="13" max="13" width="17.28515625" style="27" bestFit="1" customWidth="1"/>
    <col min="14" max="14" width="17.7109375" style="27" bestFit="1" customWidth="1"/>
  </cols>
  <sheetData>
    <row r="1" spans="1:28" ht="18" customHeight="1" x14ac:dyDescent="0.3">
      <c r="A1" s="26"/>
      <c r="B1" s="26"/>
      <c r="C1" s="26"/>
    </row>
    <row r="2" spans="1:28" s="18" customFormat="1" ht="18" customHeight="1" x14ac:dyDescent="0.25">
      <c r="A2" s="21"/>
      <c r="B2" s="21"/>
      <c r="C2" s="21"/>
      <c r="D2" s="21"/>
      <c r="E2" s="71" t="s">
        <v>390</v>
      </c>
      <c r="F2" s="71" t="s">
        <v>391</v>
      </c>
      <c r="G2" s="71" t="s">
        <v>392</v>
      </c>
      <c r="H2" s="71" t="s">
        <v>393</v>
      </c>
      <c r="I2" s="71" t="s">
        <v>394</v>
      </c>
      <c r="J2" s="71" t="s">
        <v>395</v>
      </c>
      <c r="K2" s="71" t="s">
        <v>396</v>
      </c>
      <c r="L2" s="71" t="s">
        <v>397</v>
      </c>
      <c r="M2" s="71" t="s">
        <v>398</v>
      </c>
      <c r="N2" s="71" t="s">
        <v>399</v>
      </c>
    </row>
    <row r="3" spans="1:28" s="18" customFormat="1" ht="18" customHeight="1" x14ac:dyDescent="0.25">
      <c r="A3" s="21"/>
      <c r="B3" s="21"/>
      <c r="C3" s="21"/>
      <c r="D3" s="21"/>
      <c r="E3" s="71" t="s">
        <v>390</v>
      </c>
      <c r="F3" s="71" t="s">
        <v>391</v>
      </c>
      <c r="G3" s="71" t="s">
        <v>392</v>
      </c>
      <c r="H3" s="71" t="s">
        <v>393</v>
      </c>
      <c r="I3" s="71" t="s">
        <v>394</v>
      </c>
      <c r="J3" s="71" t="s">
        <v>395</v>
      </c>
      <c r="K3" s="71" t="s">
        <v>396</v>
      </c>
      <c r="L3" s="71" t="s">
        <v>397</v>
      </c>
      <c r="M3" s="71" t="s">
        <v>398</v>
      </c>
      <c r="N3" s="71" t="s">
        <v>440</v>
      </c>
    </row>
    <row r="4" spans="1:28" s="42" customFormat="1" ht="20.100000000000001" customHeight="1" thickBot="1" x14ac:dyDescent="0.3">
      <c r="A4" s="43"/>
      <c r="B4" s="43"/>
      <c r="C4" s="43"/>
      <c r="D4" s="21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28" ht="18" x14ac:dyDescent="0.25">
      <c r="A5" s="46" t="str">
        <f>IF(Menu!$D$7="Português/Portuguese",B5,C5)</f>
        <v>Projeções</v>
      </c>
      <c r="B5" s="46" t="s">
        <v>409</v>
      </c>
      <c r="C5" s="46" t="s">
        <v>389</v>
      </c>
      <c r="E5" s="46" t="str">
        <f>IF(Menu!$D$7="Português/Portuguese",E2,E3)</f>
        <v>2026E</v>
      </c>
      <c r="F5" s="46" t="str">
        <f>IF(Menu!$D$7="Português/Portuguese",F2,F3)</f>
        <v>2027E</v>
      </c>
      <c r="G5" s="46" t="str">
        <f>IF(Menu!$D$7="Português/Portuguese",G2,G3)</f>
        <v>2028E</v>
      </c>
      <c r="H5" s="46" t="str">
        <f>IF(Menu!$D$7="Português/Portuguese",H2,H3)</f>
        <v>2029E</v>
      </c>
      <c r="I5" s="46" t="str">
        <f>IF(Menu!$D$7="Português/Portuguese",I2,I3)</f>
        <v>2030E</v>
      </c>
      <c r="J5" s="46" t="str">
        <f>IF(Menu!$D$7="Português/Portuguese",J2,J3)</f>
        <v>2023-2027E</v>
      </c>
      <c r="K5" s="46" t="str">
        <f>IF(Menu!$D$7="Português/Portuguese",K2,K3)</f>
        <v>2023-2028E</v>
      </c>
      <c r="L5" s="46" t="str">
        <f>IF(Menu!$D$7="Português/Portuguese",L2,L3)</f>
        <v>2024-2027E</v>
      </c>
      <c r="M5" s="46" t="str">
        <f>IF(Menu!$D$7="Português/Portuguese",M2,M3)</f>
        <v>2025 -2030E</v>
      </c>
      <c r="N5" s="46" t="str">
        <f>IF(Menu!$D$7="Português/Portuguese",N2,N3)</f>
        <v>Longo Prazo</v>
      </c>
      <c r="O5" s="45"/>
      <c r="P5" s="45"/>
      <c r="R5" s="45"/>
      <c r="S5" s="45"/>
      <c r="T5" s="45"/>
      <c r="U5" s="45"/>
      <c r="V5" s="45"/>
      <c r="X5" s="45"/>
      <c r="Y5" s="45"/>
      <c r="Z5" s="45"/>
      <c r="AA5" s="45"/>
      <c r="AB5" s="45"/>
    </row>
    <row r="6" spans="1:28" ht="18" x14ac:dyDescent="0.25">
      <c r="A6" s="15" t="str">
        <f>IF(Menu!$D$7="Português/Portuguese",B6,C6)</f>
        <v>EBITDA Ajustado (R$ Milhões)</v>
      </c>
      <c r="B6" s="15" t="s">
        <v>403</v>
      </c>
      <c r="C6" s="15" t="s">
        <v>412</v>
      </c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28" x14ac:dyDescent="0.3">
      <c r="A7" s="11" t="str">
        <f>IF(Menu!$D$7="Português/Portuguese",B7,C7)</f>
        <v>Estimada</v>
      </c>
      <c r="B7" s="11" t="s">
        <v>400</v>
      </c>
      <c r="C7" s="11" t="s">
        <v>413</v>
      </c>
      <c r="E7" s="47" t="s">
        <v>401</v>
      </c>
      <c r="F7" s="47" t="s">
        <v>401</v>
      </c>
      <c r="G7" s="47" t="s">
        <v>401</v>
      </c>
      <c r="H7" s="47" t="s">
        <v>401</v>
      </c>
      <c r="I7" s="47" t="s">
        <v>401</v>
      </c>
      <c r="J7" s="47" t="s">
        <v>401</v>
      </c>
      <c r="K7" s="47" t="s">
        <v>401</v>
      </c>
      <c r="L7" s="47" t="s">
        <v>401</v>
      </c>
      <c r="M7" s="47" t="s">
        <v>401</v>
      </c>
      <c r="N7" s="47" t="s">
        <v>401</v>
      </c>
    </row>
    <row r="8" spans="1:28" x14ac:dyDescent="0.3">
      <c r="A8" s="11" t="str">
        <f>IF(Menu!$D$7="Português/Portuguese",B8,C8)</f>
        <v>Atingida</v>
      </c>
      <c r="B8" s="11" t="s">
        <v>402</v>
      </c>
      <c r="C8" s="11" t="s">
        <v>414</v>
      </c>
      <c r="E8" s="47" t="s">
        <v>401</v>
      </c>
      <c r="F8" s="47" t="s">
        <v>401</v>
      </c>
      <c r="G8" s="47" t="s">
        <v>401</v>
      </c>
      <c r="H8" s="47" t="s">
        <v>401</v>
      </c>
      <c r="I8" s="47" t="s">
        <v>401</v>
      </c>
      <c r="J8" s="47" t="s">
        <v>401</v>
      </c>
      <c r="K8" s="47" t="s">
        <v>401</v>
      </c>
      <c r="L8" s="47" t="s">
        <v>401</v>
      </c>
      <c r="M8" s="47" t="s">
        <v>401</v>
      </c>
      <c r="N8" s="47" t="s">
        <v>401</v>
      </c>
    </row>
    <row r="9" spans="1:28" ht="18" x14ac:dyDescent="0.25">
      <c r="A9" s="15" t="str">
        <f>IF(Menu!$D$7="Português/Portuguese",B9,C9)</f>
        <v>Cash Cost (C1 US/ton)</v>
      </c>
      <c r="B9" s="15" t="s">
        <v>404</v>
      </c>
      <c r="C9" s="15" t="s">
        <v>404</v>
      </c>
      <c r="E9" s="73"/>
      <c r="F9" s="73"/>
      <c r="G9" s="73"/>
      <c r="H9" s="73"/>
      <c r="I9" s="73"/>
      <c r="J9" s="73"/>
      <c r="K9" s="73"/>
      <c r="L9" s="73"/>
      <c r="M9" s="73"/>
      <c r="N9" s="73"/>
    </row>
    <row r="10" spans="1:28" x14ac:dyDescent="0.3">
      <c r="A10" s="11" t="str">
        <f>IF(Menu!$D$7="Português/Portuguese",B10,C10)</f>
        <v>Estimada</v>
      </c>
      <c r="B10" s="11" t="s">
        <v>400</v>
      </c>
      <c r="C10" s="11" t="s">
        <v>413</v>
      </c>
      <c r="E10" s="48" t="s">
        <v>453</v>
      </c>
      <c r="F10" s="47" t="s">
        <v>401</v>
      </c>
      <c r="G10" s="47" t="s">
        <v>401</v>
      </c>
      <c r="H10" s="47" t="s">
        <v>401</v>
      </c>
      <c r="I10" s="47" t="s">
        <v>401</v>
      </c>
      <c r="J10" s="47" t="s">
        <v>401</v>
      </c>
      <c r="K10" s="47" t="s">
        <v>401</v>
      </c>
      <c r="L10" s="47" t="s">
        <v>401</v>
      </c>
      <c r="M10" s="47" t="s">
        <v>401</v>
      </c>
      <c r="N10" s="47" t="s">
        <v>401</v>
      </c>
    </row>
    <row r="11" spans="1:28" x14ac:dyDescent="0.3">
      <c r="A11" s="11" t="str">
        <f>IF(Menu!$D$7="Português/Portuguese",B11,C11)</f>
        <v>Atingida</v>
      </c>
      <c r="B11" s="11" t="s">
        <v>402</v>
      </c>
      <c r="C11" s="11" t="s">
        <v>414</v>
      </c>
      <c r="E11" s="47" t="s">
        <v>401</v>
      </c>
      <c r="F11" s="47" t="s">
        <v>401</v>
      </c>
      <c r="G11" s="47" t="s">
        <v>401</v>
      </c>
      <c r="H11" s="47" t="s">
        <v>401</v>
      </c>
      <c r="I11" s="47" t="s">
        <v>401</v>
      </c>
      <c r="J11" s="47" t="s">
        <v>401</v>
      </c>
      <c r="K11" s="47" t="s">
        <v>401</v>
      </c>
      <c r="L11" s="47" t="s">
        <v>401</v>
      </c>
      <c r="M11" s="47" t="s">
        <v>401</v>
      </c>
      <c r="N11" s="47" t="s">
        <v>401</v>
      </c>
    </row>
    <row r="12" spans="1:28" ht="18" x14ac:dyDescent="0.25">
      <c r="A12" s="15" t="str">
        <f>IF(Menu!$D$7="Português/Portuguese",B12,C12)</f>
        <v>Capex (R$ Milhões)</v>
      </c>
      <c r="B12" s="15" t="s">
        <v>410</v>
      </c>
      <c r="C12" s="15" t="s">
        <v>415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</row>
    <row r="13" spans="1:28" x14ac:dyDescent="0.3">
      <c r="A13" s="11" t="str">
        <f>IF(Menu!$D$7="Português/Portuguese",B13,C13)</f>
        <v>Estimada</v>
      </c>
      <c r="B13" s="11" t="s">
        <v>400</v>
      </c>
      <c r="C13" s="11" t="s">
        <v>413</v>
      </c>
      <c r="E13" s="47" t="s">
        <v>401</v>
      </c>
      <c r="F13" s="47" t="s">
        <v>401</v>
      </c>
      <c r="G13" s="47" t="s">
        <v>401</v>
      </c>
      <c r="H13" s="47" t="s">
        <v>401</v>
      </c>
      <c r="I13" s="47" t="s">
        <v>401</v>
      </c>
      <c r="J13" s="47" t="s">
        <v>401</v>
      </c>
      <c r="K13" s="47" t="s">
        <v>401</v>
      </c>
      <c r="L13" s="47" t="s">
        <v>401</v>
      </c>
      <c r="M13" s="47" t="s">
        <v>401</v>
      </c>
      <c r="N13" s="47" t="s">
        <v>401</v>
      </c>
    </row>
    <row r="14" spans="1:28" x14ac:dyDescent="0.3">
      <c r="A14" s="11" t="str">
        <f>IF(Menu!$D$7="Português/Portuguese",B14,C14)</f>
        <v>Atingida</v>
      </c>
      <c r="B14" s="11" t="s">
        <v>402</v>
      </c>
      <c r="C14" s="11" t="s">
        <v>414</v>
      </c>
      <c r="E14" s="47" t="s">
        <v>401</v>
      </c>
      <c r="F14" s="47" t="s">
        <v>401</v>
      </c>
      <c r="G14" s="47" t="s">
        <v>401</v>
      </c>
      <c r="H14" s="47" t="s">
        <v>401</v>
      </c>
      <c r="I14" s="47" t="s">
        <v>401</v>
      </c>
      <c r="J14" s="47" t="s">
        <v>401</v>
      </c>
      <c r="K14" s="47" t="s">
        <v>401</v>
      </c>
      <c r="L14" s="47" t="s">
        <v>401</v>
      </c>
      <c r="M14" s="47" t="s">
        <v>401</v>
      </c>
      <c r="N14" s="47" t="s">
        <v>401</v>
      </c>
    </row>
    <row r="15" spans="1:28" ht="36" x14ac:dyDescent="0.25">
      <c r="A15" s="15" t="str">
        <f>IF(Menu!$D$7="Português/Portuguese",B15,C15)</f>
        <v>Volume de Produção de Minério de Ferro (Compras+Produção em mil ton)</v>
      </c>
      <c r="B15" s="15" t="s">
        <v>411</v>
      </c>
      <c r="C15" s="15" t="s">
        <v>416</v>
      </c>
      <c r="E15" s="73"/>
      <c r="F15" s="73"/>
      <c r="G15" s="73"/>
      <c r="H15" s="73"/>
      <c r="I15" s="73"/>
      <c r="J15" s="73"/>
      <c r="K15" s="73"/>
      <c r="L15" s="73"/>
      <c r="M15" s="73"/>
      <c r="N15" s="73"/>
    </row>
    <row r="16" spans="1:28" x14ac:dyDescent="0.3">
      <c r="A16" s="11" t="str">
        <f>IF(Menu!$D$7="Português/Portuguese",B16,C16)</f>
        <v>Estimada</v>
      </c>
      <c r="B16" s="11" t="s">
        <v>400</v>
      </c>
      <c r="C16" s="11" t="s">
        <v>413</v>
      </c>
      <c r="E16" s="47" t="s">
        <v>454</v>
      </c>
      <c r="F16" s="47" t="s">
        <v>405</v>
      </c>
      <c r="G16" s="47" t="s">
        <v>406</v>
      </c>
      <c r="H16" s="47" t="s">
        <v>407</v>
      </c>
      <c r="I16" s="47" t="s">
        <v>408</v>
      </c>
      <c r="J16" s="47" t="s">
        <v>401</v>
      </c>
      <c r="K16" s="47" t="s">
        <v>401</v>
      </c>
      <c r="L16" s="47" t="s">
        <v>401</v>
      </c>
      <c r="M16" s="47" t="s">
        <v>401</v>
      </c>
      <c r="N16" s="47" t="s">
        <v>401</v>
      </c>
    </row>
    <row r="17" spans="1:14" x14ac:dyDescent="0.3">
      <c r="A17" s="11" t="str">
        <f>IF(Menu!$D$7="Português/Portuguese",B17,C17)</f>
        <v>Atingida</v>
      </c>
      <c r="B17" s="11" t="s">
        <v>402</v>
      </c>
      <c r="C17" s="11" t="s">
        <v>414</v>
      </c>
      <c r="E17" s="47" t="s">
        <v>401</v>
      </c>
      <c r="F17" s="47" t="s">
        <v>401</v>
      </c>
      <c r="G17" s="47" t="s">
        <v>401</v>
      </c>
      <c r="H17" s="47" t="s">
        <v>401</v>
      </c>
      <c r="I17" s="47" t="s">
        <v>401</v>
      </c>
      <c r="J17" s="47" t="s">
        <v>401</v>
      </c>
      <c r="K17" s="47" t="s">
        <v>401</v>
      </c>
      <c r="L17" s="47" t="s">
        <v>401</v>
      </c>
      <c r="M17" s="47" t="s">
        <v>401</v>
      </c>
      <c r="N17" s="47" t="s">
        <v>401</v>
      </c>
    </row>
    <row r="18" spans="1:14" ht="36" x14ac:dyDescent="0.25">
      <c r="A18" s="15" t="str">
        <f>IF(Menu!$D$7="Português/Portuguese",B18,C18)</f>
        <v>Potencial de Geração de EBITDA incremental com P15 (R$ milhões)</v>
      </c>
      <c r="B18" s="15" t="s">
        <v>418</v>
      </c>
      <c r="C18" s="15" t="s">
        <v>417</v>
      </c>
      <c r="E18" s="73"/>
      <c r="F18" s="73"/>
      <c r="G18" s="73"/>
      <c r="H18" s="73"/>
      <c r="I18" s="73"/>
      <c r="J18" s="73"/>
      <c r="K18" s="73"/>
      <c r="L18" s="73"/>
      <c r="M18" s="73"/>
      <c r="N18" s="73"/>
    </row>
    <row r="19" spans="1:14" x14ac:dyDescent="0.3">
      <c r="A19" s="11" t="str">
        <f>IF(Menu!$D$7="Português/Portuguese",B19,C19)</f>
        <v>Estimada</v>
      </c>
      <c r="B19" s="11" t="s">
        <v>400</v>
      </c>
      <c r="C19" s="11" t="s">
        <v>413</v>
      </c>
      <c r="E19" s="47" t="s">
        <v>401</v>
      </c>
      <c r="F19" s="47" t="s">
        <v>401</v>
      </c>
      <c r="G19" s="47" t="s">
        <v>401</v>
      </c>
      <c r="H19" s="47" t="s">
        <v>401</v>
      </c>
      <c r="I19" s="47" t="s">
        <v>401</v>
      </c>
      <c r="J19" s="47" t="s">
        <v>401</v>
      </c>
      <c r="K19" s="47" t="s">
        <v>401</v>
      </c>
      <c r="L19" s="72">
        <v>4000</v>
      </c>
      <c r="M19" s="47" t="s">
        <v>401</v>
      </c>
      <c r="N19" s="47" t="s">
        <v>401</v>
      </c>
    </row>
    <row r="20" spans="1:14" x14ac:dyDescent="0.3">
      <c r="A20" s="11" t="str">
        <f>IF(Menu!$D$7="Português/Portuguese",B20,C20)</f>
        <v>Atingida</v>
      </c>
      <c r="B20" s="11" t="s">
        <v>402</v>
      </c>
      <c r="C20" s="11" t="s">
        <v>414</v>
      </c>
      <c r="E20" s="47" t="s">
        <v>401</v>
      </c>
      <c r="F20" s="47" t="s">
        <v>401</v>
      </c>
      <c r="G20" s="47" t="s">
        <v>401</v>
      </c>
      <c r="H20" s="47" t="s">
        <v>401</v>
      </c>
      <c r="I20" s="47" t="s">
        <v>401</v>
      </c>
      <c r="J20" s="47" t="s">
        <v>401</v>
      </c>
      <c r="K20" s="47" t="s">
        <v>401</v>
      </c>
      <c r="L20" s="47" t="s">
        <v>401</v>
      </c>
      <c r="M20" s="47" t="s">
        <v>401</v>
      </c>
      <c r="N20" s="47" t="s">
        <v>401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&amp;L_x000D_&amp;1#&amp;"Calibri"&amp;10&amp;K000000 Público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8BED8-9D60-43EF-A182-D4056B088945}">
  <sheetPr>
    <tabColor theme="9" tint="0.39997558519241921"/>
  </sheetPr>
  <dimension ref="A1:AG82"/>
  <sheetViews>
    <sheetView showGridLines="0" zoomScale="95" zoomScaleNormal="95" workbookViewId="0">
      <pane xSplit="3" ySplit="4" topLeftCell="X5" activePane="bottomRight" state="frozen"/>
      <selection pane="topRight"/>
      <selection pane="bottomLeft"/>
      <selection pane="bottomRight" activeCell="AE6" sqref="AE6"/>
    </sheetView>
  </sheetViews>
  <sheetFormatPr defaultColWidth="15.5703125" defaultRowHeight="15" customHeight="1" outlineLevelRow="1" outlineLevelCol="1" x14ac:dyDescent="0.25"/>
  <cols>
    <col min="1" max="1" width="68.5703125" style="128" customWidth="1" collapsed="1"/>
    <col min="2" max="3" width="68.5703125" style="128" hidden="1" customWidth="1" collapsed="1"/>
    <col min="4" max="4" width="2.5703125" style="85" customWidth="1"/>
    <col min="5" max="7" width="15.7109375" style="76" hidden="1" customWidth="1" outlineLevel="1"/>
    <col min="8" max="8" width="18.140625" style="76" customWidth="1" collapsed="1"/>
    <col min="9" max="9" width="2.5703125" style="85" customWidth="1"/>
    <col min="10" max="12" width="15.7109375" style="76" hidden="1" customWidth="1" outlineLevel="1"/>
    <col min="13" max="13" width="18.140625" style="76" customWidth="1" collapsed="1"/>
    <col min="14" max="14" width="2.5703125" style="85" customWidth="1"/>
    <col min="15" max="17" width="15.7109375" style="76" hidden="1" customWidth="1" outlineLevel="1"/>
    <col min="18" max="18" width="18.140625" style="76" customWidth="1" collapsed="1"/>
    <col min="19" max="19" width="2.5703125" style="85" customWidth="1"/>
    <col min="20" max="22" width="18.140625" style="76" hidden="1" customWidth="1" outlineLevel="1"/>
    <col min="23" max="23" width="18.140625" style="76" customWidth="1" collapsed="1"/>
    <col min="24" max="24" width="2.5703125" style="85" customWidth="1"/>
    <col min="25" max="27" width="18.140625" style="76" hidden="1" customWidth="1" outlineLevel="1"/>
    <col min="28" max="28" width="18.140625" style="76" customWidth="1" collapsed="1"/>
    <col min="29" max="29" width="2.5703125" style="85" customWidth="1"/>
    <col min="30" max="32" width="18.140625" style="76" customWidth="1" outlineLevel="1"/>
    <col min="33" max="33" width="18.140625" style="76" customWidth="1"/>
    <col min="34" max="16279" width="15.5703125" style="85"/>
    <col min="16280" max="16280" width="15.5703125" style="85" customWidth="1"/>
    <col min="16281" max="16384" width="15.5703125" style="85"/>
  </cols>
  <sheetData>
    <row r="1" spans="1:33" ht="18" customHeight="1" x14ac:dyDescent="0.3">
      <c r="D1" s="77"/>
      <c r="I1" s="77"/>
      <c r="N1" s="77"/>
      <c r="S1" s="77"/>
      <c r="X1" s="77"/>
      <c r="AC1" s="77"/>
    </row>
    <row r="2" spans="1:33" s="108" customFormat="1" ht="18" customHeight="1" x14ac:dyDescent="0.3">
      <c r="A2" s="79"/>
      <c r="B2" s="79"/>
      <c r="C2" s="79"/>
      <c r="D2" s="106"/>
      <c r="E2" s="81">
        <v>44286</v>
      </c>
      <c r="F2" s="81">
        <v>44377</v>
      </c>
      <c r="G2" s="81">
        <v>44469</v>
      </c>
      <c r="H2" s="81">
        <v>44561</v>
      </c>
      <c r="I2" s="106"/>
      <c r="J2" s="81">
        <v>44651</v>
      </c>
      <c r="K2" s="81">
        <v>44742</v>
      </c>
      <c r="L2" s="81">
        <v>44834</v>
      </c>
      <c r="M2" s="81">
        <v>44926</v>
      </c>
      <c r="N2" s="106"/>
      <c r="O2" s="81">
        <v>45016</v>
      </c>
      <c r="P2" s="81">
        <v>45107</v>
      </c>
      <c r="Q2" s="81">
        <v>45199</v>
      </c>
      <c r="R2" s="81">
        <v>45291</v>
      </c>
      <c r="S2" s="106"/>
      <c r="T2" s="81">
        <v>45382</v>
      </c>
      <c r="U2" s="81">
        <v>45473</v>
      </c>
      <c r="V2" s="81">
        <v>45565</v>
      </c>
      <c r="W2" s="81">
        <v>45657</v>
      </c>
      <c r="X2" s="106"/>
      <c r="Y2" s="81">
        <v>45747</v>
      </c>
      <c r="Z2" s="81">
        <v>45838</v>
      </c>
      <c r="AA2" s="81">
        <v>45930</v>
      </c>
      <c r="AB2" s="81">
        <v>46022</v>
      </c>
      <c r="AC2" s="106"/>
      <c r="AD2" s="146">
        <v>46112</v>
      </c>
      <c r="AE2" s="146">
        <v>46203</v>
      </c>
      <c r="AF2" s="146">
        <v>46295</v>
      </c>
      <c r="AG2" s="146">
        <v>46387</v>
      </c>
    </row>
    <row r="3" spans="1:33" s="108" customFormat="1" ht="18" customHeight="1" x14ac:dyDescent="0.25">
      <c r="A3" s="79"/>
      <c r="B3" s="79"/>
      <c r="C3" s="79"/>
      <c r="E3" s="81" t="s">
        <v>419</v>
      </c>
      <c r="F3" s="84" t="s">
        <v>420</v>
      </c>
      <c r="G3" s="84" t="s">
        <v>421</v>
      </c>
      <c r="H3" s="84" t="s">
        <v>422</v>
      </c>
      <c r="J3" s="81" t="s">
        <v>423</v>
      </c>
      <c r="K3" s="84" t="s">
        <v>427</v>
      </c>
      <c r="L3" s="84" t="s">
        <v>429</v>
      </c>
      <c r="M3" s="84" t="s">
        <v>428</v>
      </c>
      <c r="O3" s="81" t="s">
        <v>424</v>
      </c>
      <c r="P3" s="84" t="s">
        <v>430</v>
      </c>
      <c r="Q3" s="84" t="s">
        <v>432</v>
      </c>
      <c r="R3" s="84" t="s">
        <v>431</v>
      </c>
      <c r="T3" s="81" t="s">
        <v>425</v>
      </c>
      <c r="U3" s="84" t="s">
        <v>433</v>
      </c>
      <c r="V3" s="84" t="s">
        <v>436</v>
      </c>
      <c r="W3" s="84" t="s">
        <v>434</v>
      </c>
      <c r="Y3" s="81" t="s">
        <v>426</v>
      </c>
      <c r="Z3" s="84" t="s">
        <v>435</v>
      </c>
      <c r="AA3" s="84" t="s">
        <v>441</v>
      </c>
      <c r="AB3" s="84" t="s">
        <v>437</v>
      </c>
      <c r="AD3" s="146" t="s">
        <v>447</v>
      </c>
      <c r="AE3" s="146" t="s">
        <v>448</v>
      </c>
      <c r="AF3" s="147" t="s">
        <v>449</v>
      </c>
      <c r="AG3" s="147" t="s">
        <v>450</v>
      </c>
    </row>
    <row r="4" spans="1:33" s="145" customFormat="1" ht="20.100000000000001" customHeight="1" x14ac:dyDescent="0.25">
      <c r="A4" s="142" t="str">
        <f>IF(Menu!$D$7="Português/Portuguese",B4,C4)</f>
        <v>Valores em R$ (´000)</v>
      </c>
      <c r="B4" s="142" t="s">
        <v>218</v>
      </c>
      <c r="C4" s="142" t="s">
        <v>138</v>
      </c>
      <c r="D4" s="143"/>
      <c r="E4" s="50">
        <f>IF(Menu!$D$7="Português/Portuguese",E2,E3)</f>
        <v>44286</v>
      </c>
      <c r="F4" s="50">
        <f>IF(Menu!$D$7="Português/Portuguese",F2,F3)</f>
        <v>44377</v>
      </c>
      <c r="G4" s="50">
        <f>IF(Menu!$D$7="Português/Portuguese",G2,G3)</f>
        <v>44469</v>
      </c>
      <c r="H4" s="51">
        <f>IF(Menu!$D$7="Português/Portuguese",H2,H3)</f>
        <v>44561</v>
      </c>
      <c r="I4" s="144"/>
      <c r="J4" s="50">
        <f>IF(Menu!$D$7="Português/Portuguese",J2,J3)</f>
        <v>44651</v>
      </c>
      <c r="K4" s="50">
        <f>IF(Menu!$D$7="Português/Portuguese",K2,K3)</f>
        <v>44742</v>
      </c>
      <c r="L4" s="50">
        <f>IF(Menu!$D$7="Português/Portuguese",L2,L3)</f>
        <v>44834</v>
      </c>
      <c r="M4" s="51">
        <f>IF(Menu!$D$7="Português/Portuguese",M2,M3)</f>
        <v>44926</v>
      </c>
      <c r="N4" s="144"/>
      <c r="O4" s="50">
        <f>IF(Menu!$D$7="Português/Portuguese",O2,O3)</f>
        <v>45016</v>
      </c>
      <c r="P4" s="50">
        <f>IF(Menu!$D$7="Português/Portuguese",P2,P3)</f>
        <v>45107</v>
      </c>
      <c r="Q4" s="50">
        <f>IF(Menu!$D$7="Português/Portuguese",Q2,Q3)</f>
        <v>45199</v>
      </c>
      <c r="R4" s="51">
        <f>IF(Menu!$D$7="Português/Portuguese",R2,R3)</f>
        <v>45291</v>
      </c>
      <c r="S4" s="144"/>
      <c r="T4" s="50">
        <f>IF(Menu!$D$7="Português/Portuguese",T2,T3)</f>
        <v>45382</v>
      </c>
      <c r="U4" s="50">
        <f>IF(Menu!$D$7="Português/Portuguese",U2,U3)</f>
        <v>45473</v>
      </c>
      <c r="V4" s="50">
        <f>IF(Menu!$D$7="Português/Portuguese",V2,V3)</f>
        <v>45565</v>
      </c>
      <c r="W4" s="51">
        <f>IF(Menu!$D$7="Português/Portuguese",W2,W3)</f>
        <v>45657</v>
      </c>
      <c r="X4" s="144"/>
      <c r="Y4" s="50">
        <f>IF(Menu!$D$7="Português/Portuguese",Y2,Y3)</f>
        <v>45747</v>
      </c>
      <c r="Z4" s="50">
        <f>IF(Menu!$D$7="Português/Portuguese",Z2,Z3)</f>
        <v>45838</v>
      </c>
      <c r="AA4" s="50">
        <f>IF(Menu!$D$7="Português/Portuguese",AA2,AA3)</f>
        <v>45930</v>
      </c>
      <c r="AB4" s="51">
        <f>IF(Menu!$D$7="Português/Portuguese",AB2,AB3)</f>
        <v>46022</v>
      </c>
      <c r="AC4" s="144"/>
      <c r="AD4" s="50">
        <f>IF(Menu!$D$7="Português/Portuguese",AD2,AD3)</f>
        <v>46112</v>
      </c>
      <c r="AE4" s="50">
        <v>46203</v>
      </c>
      <c r="AF4" s="50">
        <f>IF(Menu!$D$7="Português/Portuguese",AF2,AF3)</f>
        <v>46295</v>
      </c>
      <c r="AG4" s="51">
        <f>IF(Menu!$D$7="Português/Portuguese",AG2,AG3)</f>
        <v>46387</v>
      </c>
    </row>
    <row r="5" spans="1:33" ht="20.100000000000001" customHeight="1" x14ac:dyDescent="0.25">
      <c r="A5" s="129" t="str">
        <f>IF(Menu!$D$7="Português/Portuguese",B5,C5)</f>
        <v>Ativo</v>
      </c>
      <c r="B5" s="129" t="s">
        <v>137</v>
      </c>
      <c r="C5" s="129" t="s">
        <v>136</v>
      </c>
      <c r="E5" s="130"/>
      <c r="F5" s="130"/>
      <c r="G5" s="130"/>
      <c r="H5" s="130"/>
      <c r="J5" s="130"/>
      <c r="K5" s="130"/>
      <c r="L5" s="130"/>
      <c r="M5" s="130"/>
      <c r="O5" s="130"/>
      <c r="P5" s="130"/>
      <c r="Q5" s="130"/>
      <c r="R5" s="130"/>
      <c r="T5" s="130"/>
      <c r="U5" s="130"/>
      <c r="V5" s="130"/>
      <c r="W5" s="130"/>
      <c r="Y5" s="130"/>
      <c r="Z5" s="130"/>
      <c r="AA5" s="130"/>
      <c r="AB5" s="130"/>
      <c r="AD5" s="130"/>
      <c r="AE5" s="130"/>
      <c r="AF5" s="130"/>
      <c r="AG5" s="130"/>
    </row>
    <row r="6" spans="1:33" s="114" customFormat="1" ht="15" customHeight="1" x14ac:dyDescent="0.25">
      <c r="A6" s="131" t="str">
        <f>IF(Menu!$D$7="Português/Portuguese",B6,C6)</f>
        <v>Ativo Circulante</v>
      </c>
      <c r="B6" s="131" t="s">
        <v>135</v>
      </c>
      <c r="C6" s="131" t="s">
        <v>134</v>
      </c>
      <c r="D6" s="85"/>
      <c r="E6" s="101">
        <f>SUM(E7:E12)</f>
        <v>8714352</v>
      </c>
      <c r="F6" s="101">
        <f t="shared" ref="F6:G6" si="0">SUM(F7:F12)</f>
        <v>13838984</v>
      </c>
      <c r="G6" s="101">
        <f t="shared" si="0"/>
        <v>14545213</v>
      </c>
      <c r="H6" s="101">
        <f>SUM(H7:H12)</f>
        <v>12797847</v>
      </c>
      <c r="J6" s="101">
        <f t="shared" ref="J6:M6" si="1">SUM(J7:J12)</f>
        <v>9740577</v>
      </c>
      <c r="K6" s="101">
        <f t="shared" si="1"/>
        <v>9528471</v>
      </c>
      <c r="L6" s="101">
        <f t="shared" si="1"/>
        <v>11651602</v>
      </c>
      <c r="M6" s="101">
        <f t="shared" si="1"/>
        <v>9617117</v>
      </c>
      <c r="O6" s="101">
        <f t="shared" ref="O6" si="2">SUM(O7:O12)</f>
        <v>12541976</v>
      </c>
      <c r="P6" s="101">
        <f t="shared" ref="P6" si="3">SUM(P7:P12)</f>
        <v>10482450</v>
      </c>
      <c r="Q6" s="101">
        <f t="shared" ref="Q6" si="4">SUM(Q7:Q12)</f>
        <v>13472894</v>
      </c>
      <c r="R6" s="101">
        <f t="shared" ref="R6" si="5">SUM(R7:R12)</f>
        <v>12987583</v>
      </c>
      <c r="T6" s="101">
        <f t="shared" ref="T6" si="6">SUM(T7:T12)</f>
        <v>12983945</v>
      </c>
      <c r="U6" s="101">
        <f t="shared" ref="U6" si="7">SUM(U7:U12)</f>
        <v>13779473</v>
      </c>
      <c r="V6" s="101">
        <f t="shared" ref="V6" si="8">SUM(V7:V12)</f>
        <v>16603526</v>
      </c>
      <c r="W6" s="101">
        <f t="shared" ref="W6" si="9">SUM(W7:W12)</f>
        <v>17832106</v>
      </c>
      <c r="Y6" s="101">
        <f>SUM(Y7:Y12)-1</f>
        <v>16680740</v>
      </c>
      <c r="Z6" s="101">
        <f t="shared" ref="Z6" si="10">SUM(Z7:Z12)</f>
        <v>16982284</v>
      </c>
      <c r="AA6" s="101">
        <f t="shared" ref="AA6" si="11">SUM(AA7:AA12)</f>
        <v>16750738</v>
      </c>
      <c r="AB6" s="101">
        <f>SUM(AB7:AB12)-1</f>
        <v>12084606</v>
      </c>
      <c r="AD6" s="101">
        <f>SUM(AD7:AD12)</f>
        <v>12686700</v>
      </c>
      <c r="AE6" s="101">
        <f>SUM(AE7:AE12)</f>
        <v>11437315</v>
      </c>
      <c r="AF6" s="101"/>
      <c r="AG6" s="101"/>
    </row>
    <row r="7" spans="1:33" s="114" customFormat="1" ht="15" customHeight="1" x14ac:dyDescent="0.3">
      <c r="A7" s="104" t="str">
        <f>IF(Menu!$D$7="Português/Portuguese",B7,C7)</f>
        <v>Caixa e Equivalentes de Caixa</v>
      </c>
      <c r="B7" s="104" t="s">
        <v>133</v>
      </c>
      <c r="C7" s="104" t="s">
        <v>244</v>
      </c>
      <c r="D7" s="85"/>
      <c r="E7" s="91">
        <v>5116457</v>
      </c>
      <c r="F7" s="91">
        <v>9065450</v>
      </c>
      <c r="G7" s="91">
        <v>11830791</v>
      </c>
      <c r="H7" s="91">
        <v>10716802</v>
      </c>
      <c r="I7" s="91"/>
      <c r="J7" s="91">
        <v>6352605</v>
      </c>
      <c r="K7" s="91">
        <v>7369032</v>
      </c>
      <c r="L7" s="91">
        <v>9583962</v>
      </c>
      <c r="M7" s="91">
        <v>6489572</v>
      </c>
      <c r="N7" s="91"/>
      <c r="O7" s="91">
        <v>9013831</v>
      </c>
      <c r="P7" s="91">
        <v>7848198</v>
      </c>
      <c r="Q7" s="91">
        <v>10622092</v>
      </c>
      <c r="R7" s="91">
        <v>9795878</v>
      </c>
      <c r="S7" s="91"/>
      <c r="T7" s="91">
        <v>10409096</v>
      </c>
      <c r="U7" s="91">
        <v>11773696</v>
      </c>
      <c r="V7" s="91">
        <v>14479020</v>
      </c>
      <c r="W7" s="91">
        <v>15185928</v>
      </c>
      <c r="X7" s="91"/>
      <c r="Y7" s="91">
        <v>14281539</v>
      </c>
      <c r="Z7" s="91">
        <v>14354813</v>
      </c>
      <c r="AA7" s="91">
        <v>13584743</v>
      </c>
      <c r="AB7" s="91">
        <v>8871892</v>
      </c>
      <c r="AC7" s="91"/>
      <c r="AD7" s="91">
        <v>8842373</v>
      </c>
      <c r="AE7" s="91">
        <v>7920160</v>
      </c>
      <c r="AF7" s="91"/>
      <c r="AG7" s="91"/>
    </row>
    <row r="8" spans="1:33" s="114" customFormat="1" ht="15" customHeight="1" x14ac:dyDescent="0.3">
      <c r="A8" s="104" t="str">
        <f>IF(Menu!$D$7="Português/Portuguese",B8,C8)</f>
        <v>Aplicações Financeiras</v>
      </c>
      <c r="B8" s="104" t="s">
        <v>132</v>
      </c>
      <c r="C8" s="104" t="s">
        <v>245</v>
      </c>
      <c r="D8" s="85"/>
      <c r="E8" s="91">
        <v>1431</v>
      </c>
      <c r="F8" s="91">
        <v>1886</v>
      </c>
      <c r="G8" s="91">
        <v>212739</v>
      </c>
      <c r="H8" s="91">
        <v>217023</v>
      </c>
      <c r="I8" s="91"/>
      <c r="J8" s="91">
        <v>222685</v>
      </c>
      <c r="K8" s="91">
        <v>226229</v>
      </c>
      <c r="L8" s="91">
        <v>136927</v>
      </c>
      <c r="M8" s="91">
        <v>247326</v>
      </c>
      <c r="N8" s="91"/>
      <c r="O8" s="91">
        <v>237186</v>
      </c>
      <c r="P8" s="91">
        <v>11248</v>
      </c>
      <c r="Q8" s="91">
        <v>12084</v>
      </c>
      <c r="R8" s="91">
        <v>12452</v>
      </c>
      <c r="S8" s="91"/>
      <c r="T8" s="91">
        <v>12836</v>
      </c>
      <c r="U8" s="91">
        <v>13164</v>
      </c>
      <c r="V8" s="91">
        <v>13530</v>
      </c>
      <c r="W8" s="91">
        <v>13891</v>
      </c>
      <c r="X8" s="91"/>
      <c r="Y8" s="91">
        <v>14320</v>
      </c>
      <c r="Z8" s="91">
        <v>14799</v>
      </c>
      <c r="AA8" s="91">
        <v>17444</v>
      </c>
      <c r="AB8" s="91">
        <v>18074</v>
      </c>
      <c r="AC8" s="91"/>
      <c r="AD8" s="91">
        <v>18700</v>
      </c>
      <c r="AE8" s="91">
        <v>19242</v>
      </c>
      <c r="AF8" s="91"/>
      <c r="AG8" s="91"/>
    </row>
    <row r="9" spans="1:33" s="114" customFormat="1" ht="15" customHeight="1" x14ac:dyDescent="0.3">
      <c r="A9" s="104" t="str">
        <f>IF(Menu!$D$7="Português/Portuguese",B9,C9)</f>
        <v>Contas a Receber</v>
      </c>
      <c r="B9" s="104" t="s">
        <v>219</v>
      </c>
      <c r="C9" s="104" t="s">
        <v>131</v>
      </c>
      <c r="D9" s="85"/>
      <c r="E9" s="91">
        <v>2693170</v>
      </c>
      <c r="F9" s="91">
        <v>3629355</v>
      </c>
      <c r="G9" s="91">
        <v>895340</v>
      </c>
      <c r="H9" s="91">
        <v>749766</v>
      </c>
      <c r="I9" s="91"/>
      <c r="J9" s="91">
        <v>2068539</v>
      </c>
      <c r="K9" s="91">
        <v>790965</v>
      </c>
      <c r="L9" s="91">
        <v>657217</v>
      </c>
      <c r="M9" s="91">
        <v>1545463</v>
      </c>
      <c r="N9" s="91"/>
      <c r="O9" s="91">
        <v>1657386</v>
      </c>
      <c r="P9" s="91">
        <v>857774</v>
      </c>
      <c r="Q9" s="91">
        <v>1397789</v>
      </c>
      <c r="R9" s="91">
        <v>1712870</v>
      </c>
      <c r="S9" s="91"/>
      <c r="T9" s="91">
        <v>432504</v>
      </c>
      <c r="U9" s="91">
        <v>901031</v>
      </c>
      <c r="V9" s="91">
        <v>688910</v>
      </c>
      <c r="W9" s="91">
        <v>1506580</v>
      </c>
      <c r="X9" s="91"/>
      <c r="Y9" s="91">
        <v>973080</v>
      </c>
      <c r="Z9" s="91">
        <v>892974</v>
      </c>
      <c r="AA9" s="91">
        <v>1543609</v>
      </c>
      <c r="AB9" s="91">
        <v>1914795</v>
      </c>
      <c r="AC9" s="91"/>
      <c r="AD9" s="91">
        <v>2257136</v>
      </c>
      <c r="AE9" s="91">
        <v>1895014</v>
      </c>
      <c r="AF9" s="91"/>
      <c r="AG9" s="91"/>
    </row>
    <row r="10" spans="1:33" s="114" customFormat="1" ht="14.25" customHeight="1" x14ac:dyDescent="0.3">
      <c r="A10" s="104" t="str">
        <f>IF(Menu!$D$7="Português/Portuguese",B10,C10)</f>
        <v>Estoques</v>
      </c>
      <c r="B10" s="104" t="s">
        <v>127</v>
      </c>
      <c r="C10" s="104" t="s">
        <v>126</v>
      </c>
      <c r="D10" s="85"/>
      <c r="E10" s="91">
        <v>608621</v>
      </c>
      <c r="F10" s="91">
        <v>949040</v>
      </c>
      <c r="G10" s="91">
        <v>1253443</v>
      </c>
      <c r="H10" s="91">
        <v>855205</v>
      </c>
      <c r="I10" s="91"/>
      <c r="J10" s="91">
        <v>821117</v>
      </c>
      <c r="K10" s="91">
        <v>865463</v>
      </c>
      <c r="L10" s="91">
        <v>818002</v>
      </c>
      <c r="M10" s="91">
        <v>923849</v>
      </c>
      <c r="N10" s="91"/>
      <c r="O10" s="91">
        <v>1140770</v>
      </c>
      <c r="P10" s="91">
        <v>1083020</v>
      </c>
      <c r="Q10" s="91">
        <v>916364</v>
      </c>
      <c r="R10" s="91">
        <v>935979</v>
      </c>
      <c r="S10" s="91"/>
      <c r="T10" s="91">
        <v>755748</v>
      </c>
      <c r="U10" s="91">
        <v>700595</v>
      </c>
      <c r="V10" s="91">
        <v>729454</v>
      </c>
      <c r="W10" s="91">
        <v>777848</v>
      </c>
      <c r="X10" s="91"/>
      <c r="Y10" s="91">
        <v>847936</v>
      </c>
      <c r="Z10" s="91">
        <v>869275</v>
      </c>
      <c r="AA10" s="91">
        <v>818767</v>
      </c>
      <c r="AB10" s="91">
        <v>825422</v>
      </c>
      <c r="AC10" s="91"/>
      <c r="AD10" s="91">
        <v>833780</v>
      </c>
      <c r="AE10" s="91">
        <v>764202</v>
      </c>
      <c r="AF10" s="91"/>
      <c r="AG10" s="91"/>
    </row>
    <row r="11" spans="1:33" s="114" customFormat="1" ht="14.25" customHeight="1" x14ac:dyDescent="0.3">
      <c r="A11" s="104" t="str">
        <f>IF(Menu!$D$7="Português/Portuguese",B11,C11)</f>
        <v>Impostos a recuperar</v>
      </c>
      <c r="B11" s="104" t="s">
        <v>220</v>
      </c>
      <c r="C11" s="104" t="s">
        <v>124</v>
      </c>
      <c r="D11" s="85"/>
      <c r="E11" s="91">
        <v>29622</v>
      </c>
      <c r="F11" s="91">
        <v>41010</v>
      </c>
      <c r="G11" s="91">
        <v>52205</v>
      </c>
      <c r="H11" s="91">
        <v>105989</v>
      </c>
      <c r="I11" s="91"/>
      <c r="J11" s="91">
        <v>115047</v>
      </c>
      <c r="K11" s="91">
        <v>116571</v>
      </c>
      <c r="L11" s="91">
        <v>135972</v>
      </c>
      <c r="M11" s="91">
        <v>177737</v>
      </c>
      <c r="N11" s="91"/>
      <c r="O11" s="91">
        <v>213897</v>
      </c>
      <c r="P11" s="91">
        <v>281680</v>
      </c>
      <c r="Q11" s="91">
        <v>298308</v>
      </c>
      <c r="R11" s="91">
        <v>227624</v>
      </c>
      <c r="S11" s="91"/>
      <c r="T11" s="91">
        <v>147203</v>
      </c>
      <c r="U11" s="91">
        <v>196603</v>
      </c>
      <c r="V11" s="91">
        <v>437521</v>
      </c>
      <c r="W11" s="91">
        <v>70613</v>
      </c>
      <c r="X11" s="91"/>
      <c r="Y11" s="91">
        <v>171092</v>
      </c>
      <c r="Z11" s="91">
        <v>438965</v>
      </c>
      <c r="AA11" s="91">
        <v>279211</v>
      </c>
      <c r="AB11" s="91">
        <v>104913</v>
      </c>
      <c r="AC11" s="91"/>
      <c r="AD11" s="91">
        <v>265245</v>
      </c>
      <c r="AE11" s="91">
        <v>190393</v>
      </c>
      <c r="AF11" s="91"/>
      <c r="AG11" s="91"/>
    </row>
    <row r="12" spans="1:33" s="114" customFormat="1" ht="14.25" customHeight="1" x14ac:dyDescent="0.3">
      <c r="A12" s="104" t="str">
        <f>IF(Menu!$D$7="Português/Portuguese",B12,C12)</f>
        <v>Outros Ativos Circulantes</v>
      </c>
      <c r="B12" s="104" t="s">
        <v>221</v>
      </c>
      <c r="C12" s="104" t="s">
        <v>246</v>
      </c>
      <c r="D12" s="85"/>
      <c r="E12" s="91">
        <v>265051</v>
      </c>
      <c r="F12" s="91">
        <v>152243</v>
      </c>
      <c r="G12" s="91">
        <v>300695</v>
      </c>
      <c r="H12" s="91">
        <v>153062</v>
      </c>
      <c r="I12" s="91"/>
      <c r="J12" s="91">
        <v>160584</v>
      </c>
      <c r="K12" s="91">
        <v>160211</v>
      </c>
      <c r="L12" s="91">
        <v>319522</v>
      </c>
      <c r="M12" s="91">
        <v>233170</v>
      </c>
      <c r="N12" s="91"/>
      <c r="O12" s="91">
        <v>278906</v>
      </c>
      <c r="P12" s="91">
        <v>400530</v>
      </c>
      <c r="Q12" s="91">
        <v>226257</v>
      </c>
      <c r="R12" s="91">
        <v>302780</v>
      </c>
      <c r="S12" s="91"/>
      <c r="T12" s="91">
        <v>1226558</v>
      </c>
      <c r="U12" s="91">
        <v>194384</v>
      </c>
      <c r="V12" s="91">
        <v>255091</v>
      </c>
      <c r="W12" s="91">
        <v>277246</v>
      </c>
      <c r="X12" s="91"/>
      <c r="Y12" s="91">
        <v>392774</v>
      </c>
      <c r="Z12" s="91">
        <v>411458</v>
      </c>
      <c r="AA12" s="91">
        <v>506964</v>
      </c>
      <c r="AB12" s="91">
        <v>349511</v>
      </c>
      <c r="AC12" s="91"/>
      <c r="AD12" s="91">
        <v>469466</v>
      </c>
      <c r="AE12" s="91">
        <v>648304</v>
      </c>
      <c r="AF12" s="91"/>
      <c r="AG12" s="91"/>
    </row>
    <row r="13" spans="1:33" s="134" customFormat="1" ht="15" customHeight="1" outlineLevel="1" x14ac:dyDescent="0.3">
      <c r="A13" s="132" t="str">
        <f>IF(Menu!$D$7="Português/Portuguese",B13,C13)</f>
        <v>Adiantamentos a fornecedores</v>
      </c>
      <c r="B13" s="132" t="s">
        <v>222</v>
      </c>
      <c r="C13" s="132" t="s">
        <v>247</v>
      </c>
      <c r="D13" s="85"/>
      <c r="E13" s="133">
        <v>92543</v>
      </c>
      <c r="F13" s="133">
        <v>91779</v>
      </c>
      <c r="G13" s="133">
        <v>89175</v>
      </c>
      <c r="H13" s="133">
        <v>90952</v>
      </c>
      <c r="I13" s="133"/>
      <c r="J13" s="133">
        <v>91358</v>
      </c>
      <c r="K13" s="133">
        <v>96082</v>
      </c>
      <c r="L13" s="133">
        <v>98102</v>
      </c>
      <c r="M13" s="133">
        <v>100696</v>
      </c>
      <c r="N13" s="133"/>
      <c r="O13" s="133">
        <v>95784</v>
      </c>
      <c r="P13" s="133">
        <v>91448</v>
      </c>
      <c r="Q13" s="133">
        <v>48805</v>
      </c>
      <c r="R13" s="133">
        <v>10230</v>
      </c>
      <c r="S13" s="133"/>
      <c r="T13" s="133">
        <v>44277</v>
      </c>
      <c r="U13" s="133">
        <v>97134</v>
      </c>
      <c r="V13" s="133">
        <v>162011</v>
      </c>
      <c r="W13" s="133">
        <v>142611</v>
      </c>
      <c r="X13" s="133"/>
      <c r="Y13" s="133">
        <v>145949</v>
      </c>
      <c r="Z13" s="133">
        <v>160493</v>
      </c>
      <c r="AA13" s="133">
        <v>159008</v>
      </c>
      <c r="AB13" s="133">
        <v>146440</v>
      </c>
      <c r="AC13" s="133"/>
      <c r="AD13" s="133">
        <v>254638.79709000001</v>
      </c>
      <c r="AE13" s="133">
        <v>246372</v>
      </c>
      <c r="AF13" s="133"/>
      <c r="AG13" s="133"/>
    </row>
    <row r="14" spans="1:33" s="134" customFormat="1" ht="15" customHeight="1" outlineLevel="1" x14ac:dyDescent="0.3">
      <c r="A14" s="132" t="str">
        <f>IF(Menu!$D$7="Português/Portuguese",B14,C14)</f>
        <v>Instrumentos financeiros derivativos</v>
      </c>
      <c r="B14" s="132" t="s">
        <v>95</v>
      </c>
      <c r="C14" s="132" t="s">
        <v>94</v>
      </c>
      <c r="D14" s="85"/>
      <c r="E14" s="133">
        <v>0</v>
      </c>
      <c r="F14" s="133">
        <v>0</v>
      </c>
      <c r="G14" s="133">
        <v>0</v>
      </c>
      <c r="H14" s="133">
        <v>0</v>
      </c>
      <c r="I14" s="133"/>
      <c r="J14" s="133">
        <v>0</v>
      </c>
      <c r="K14" s="133">
        <v>0</v>
      </c>
      <c r="L14" s="133">
        <v>0</v>
      </c>
      <c r="M14" s="133">
        <v>0</v>
      </c>
      <c r="N14" s="133"/>
      <c r="O14" s="133">
        <v>0</v>
      </c>
      <c r="P14" s="133">
        <v>0</v>
      </c>
      <c r="Q14" s="133">
        <v>0</v>
      </c>
      <c r="R14" s="133">
        <v>0</v>
      </c>
      <c r="S14" s="133"/>
      <c r="T14" s="133">
        <v>966907</v>
      </c>
      <c r="U14" s="133">
        <v>0</v>
      </c>
      <c r="V14" s="133">
        <v>0</v>
      </c>
      <c r="W14" s="133">
        <v>0</v>
      </c>
      <c r="X14" s="133"/>
      <c r="Y14" s="133">
        <v>0</v>
      </c>
      <c r="Z14" s="133">
        <v>0</v>
      </c>
      <c r="AA14" s="133">
        <v>0</v>
      </c>
      <c r="AB14" s="133">
        <v>0</v>
      </c>
      <c r="AC14" s="133"/>
      <c r="AD14" s="133">
        <v>4080.2661000000003</v>
      </c>
      <c r="AE14" s="133">
        <v>0</v>
      </c>
      <c r="AF14" s="133"/>
      <c r="AG14" s="133"/>
    </row>
    <row r="15" spans="1:33" s="134" customFormat="1" ht="15" customHeight="1" outlineLevel="1" x14ac:dyDescent="0.3">
      <c r="A15" s="132" t="str">
        <f>IF(Menu!$D$7="Português/Portuguese",B15,C15)</f>
        <v>Outros</v>
      </c>
      <c r="B15" s="132" t="s">
        <v>123</v>
      </c>
      <c r="C15" s="132" t="s">
        <v>122</v>
      </c>
      <c r="D15" s="85"/>
      <c r="E15" s="133">
        <v>172508</v>
      </c>
      <c r="F15" s="133">
        <v>60464</v>
      </c>
      <c r="G15" s="133">
        <v>211520</v>
      </c>
      <c r="H15" s="133">
        <v>62110</v>
      </c>
      <c r="I15" s="133"/>
      <c r="J15" s="133">
        <v>69226</v>
      </c>
      <c r="K15" s="133">
        <v>64129</v>
      </c>
      <c r="L15" s="133">
        <v>221420</v>
      </c>
      <c r="M15" s="133">
        <v>132474</v>
      </c>
      <c r="N15" s="133"/>
      <c r="O15" s="133">
        <v>183122</v>
      </c>
      <c r="P15" s="133">
        <v>309082</v>
      </c>
      <c r="Q15" s="133">
        <v>177452</v>
      </c>
      <c r="R15" s="133">
        <v>292550</v>
      </c>
      <c r="S15" s="133"/>
      <c r="T15" s="133">
        <v>215374</v>
      </c>
      <c r="U15" s="133">
        <v>97250</v>
      </c>
      <c r="V15" s="133">
        <v>98508</v>
      </c>
      <c r="W15" s="133">
        <v>134635</v>
      </c>
      <c r="X15" s="133"/>
      <c r="Y15" s="133">
        <v>246825</v>
      </c>
      <c r="Z15" s="133">
        <v>250965</v>
      </c>
      <c r="AA15" s="133">
        <v>347956</v>
      </c>
      <c r="AB15" s="133">
        <v>203071</v>
      </c>
      <c r="AC15" s="133"/>
      <c r="AD15" s="133">
        <v>210746.93680999998</v>
      </c>
      <c r="AE15" s="133">
        <v>401932</v>
      </c>
      <c r="AF15" s="133"/>
      <c r="AG15" s="133"/>
    </row>
    <row r="16" spans="1:33" s="114" customFormat="1" ht="15" customHeight="1" x14ac:dyDescent="0.25">
      <c r="A16" s="131" t="str">
        <f>IF(Menu!$D$7="Português/Portuguese",B16,C16)</f>
        <v>Ativo Não Circulante</v>
      </c>
      <c r="B16" s="131" t="s">
        <v>129</v>
      </c>
      <c r="C16" s="131" t="s">
        <v>128</v>
      </c>
      <c r="D16" s="85"/>
      <c r="E16" s="101">
        <f>SUM(E17:E20,E23:E24,E28)</f>
        <v>13090264</v>
      </c>
      <c r="F16" s="101">
        <f t="shared" ref="F16:H16" si="12">SUM(F17:F20,F23:F24,F28)</f>
        <v>13486985</v>
      </c>
      <c r="G16" s="101">
        <f t="shared" si="12"/>
        <v>13815368</v>
      </c>
      <c r="H16" s="101">
        <f t="shared" si="12"/>
        <v>14193287</v>
      </c>
      <c r="J16" s="101">
        <f t="shared" ref="J16" si="13">SUM(J17:J20,J23:J24,J28)</f>
        <v>14307501</v>
      </c>
      <c r="K16" s="101">
        <f t="shared" ref="K16" si="14">SUM(K17:K20,K23:K24,K28)</f>
        <v>14612140</v>
      </c>
      <c r="L16" s="101">
        <f t="shared" ref="L16" si="15">SUM(L17:L20,L23:L24,L28)</f>
        <v>14856353</v>
      </c>
      <c r="M16" s="101">
        <f t="shared" ref="M16" si="16">SUM(M17:M20,M23:M24,M28)</f>
        <v>15436479</v>
      </c>
      <c r="O16" s="101">
        <f t="shared" ref="O16" si="17">SUM(O17:O20,O23:O24,O28)</f>
        <v>15557816</v>
      </c>
      <c r="P16" s="101">
        <f t="shared" ref="P16" si="18">SUM(P17:P20,P23:P24,P28)</f>
        <v>15826804</v>
      </c>
      <c r="Q16" s="101">
        <f>SUM(Q17:Q20,Q23:Q24,Q28)</f>
        <v>16152220</v>
      </c>
      <c r="R16" s="101">
        <f t="shared" ref="R16" si="19">SUM(R17:R20,R23:R24,R28)</f>
        <v>16703022</v>
      </c>
      <c r="T16" s="101">
        <f t="shared" ref="T16" si="20">SUM(T17:T20,T23:T24,T28)</f>
        <v>16742020</v>
      </c>
      <c r="U16" s="101">
        <f t="shared" ref="U16" si="21">SUM(U17:U20,U23:U24,U28)</f>
        <v>17076033</v>
      </c>
      <c r="V16" s="101">
        <f t="shared" ref="V16" si="22">SUM(V17:V20,V23:V24,V28)</f>
        <v>17856523</v>
      </c>
      <c r="W16" s="101">
        <f t="shared" ref="W16" si="23">SUM(W17:W20,W23:W24,W28)</f>
        <v>18558813</v>
      </c>
      <c r="Y16" s="101">
        <f>SUM(Y17:Y20,Y23:Y24,Y28)-1</f>
        <v>18640278</v>
      </c>
      <c r="Z16" s="101">
        <f>SUM(Z17:Z20,Z23:Z24,Z28)</f>
        <v>19008828</v>
      </c>
      <c r="AA16" s="101">
        <f t="shared" ref="AA16" si="24">SUM(AA17:AA20,AA23:AA24,AA28)</f>
        <v>19562373</v>
      </c>
      <c r="AB16" s="101">
        <f t="shared" ref="AB16:AE16" si="25">SUM(AB17:AB20,AB23:AB24,AB28)</f>
        <v>21468968</v>
      </c>
      <c r="AD16" s="101">
        <f t="shared" si="25"/>
        <v>21501780</v>
      </c>
      <c r="AE16" s="101">
        <f t="shared" si="25"/>
        <v>22410123</v>
      </c>
      <c r="AF16" s="101"/>
      <c r="AG16" s="101"/>
    </row>
    <row r="17" spans="1:33" s="92" customFormat="1" ht="18.95" customHeight="1" x14ac:dyDescent="0.3">
      <c r="A17" s="104" t="str">
        <f>IF(Menu!$D$7="Português/Portuguese",B17,C17)</f>
        <v>Tributos Diferidos</v>
      </c>
      <c r="B17" s="104" t="s">
        <v>92</v>
      </c>
      <c r="C17" s="104" t="s">
        <v>91</v>
      </c>
      <c r="E17" s="91">
        <v>0</v>
      </c>
      <c r="F17" s="91">
        <v>0</v>
      </c>
      <c r="G17" s="91">
        <v>0</v>
      </c>
      <c r="H17" s="91">
        <v>0</v>
      </c>
      <c r="I17" s="76"/>
      <c r="J17" s="91">
        <v>0</v>
      </c>
      <c r="K17" s="91">
        <v>0</v>
      </c>
      <c r="L17" s="91">
        <v>0</v>
      </c>
      <c r="M17" s="91">
        <v>0</v>
      </c>
      <c r="N17" s="76"/>
      <c r="O17" s="91">
        <v>0</v>
      </c>
      <c r="P17" s="91">
        <v>0</v>
      </c>
      <c r="Q17" s="91">
        <v>0</v>
      </c>
      <c r="R17" s="91">
        <v>0</v>
      </c>
      <c r="S17" s="76"/>
      <c r="T17" s="91">
        <v>0</v>
      </c>
      <c r="U17" s="91">
        <v>0</v>
      </c>
      <c r="V17" s="91">
        <v>0</v>
      </c>
      <c r="W17" s="91">
        <v>143709</v>
      </c>
      <c r="X17" s="76"/>
      <c r="Y17" s="91">
        <v>0</v>
      </c>
      <c r="Z17" s="91">
        <v>0</v>
      </c>
      <c r="AA17" s="91">
        <v>2972</v>
      </c>
      <c r="AB17" s="91">
        <v>5598</v>
      </c>
      <c r="AC17" s="76"/>
      <c r="AD17" s="91">
        <v>4230</v>
      </c>
      <c r="AE17" s="91">
        <v>3278</v>
      </c>
      <c r="AF17" s="91"/>
      <c r="AG17" s="91"/>
    </row>
    <row r="18" spans="1:33" s="114" customFormat="1" ht="15" customHeight="1" x14ac:dyDescent="0.3">
      <c r="A18" s="104" t="str">
        <f>IF(Menu!$D$7="Português/Portuguese",B18,C18)</f>
        <v>Impostos a recuperar</v>
      </c>
      <c r="B18" s="104" t="s">
        <v>220</v>
      </c>
      <c r="C18" s="104" t="s">
        <v>130</v>
      </c>
      <c r="D18" s="92"/>
      <c r="E18" s="91">
        <v>77746</v>
      </c>
      <c r="F18" s="91">
        <v>94358</v>
      </c>
      <c r="G18" s="91">
        <v>114504</v>
      </c>
      <c r="H18" s="91">
        <v>117230</v>
      </c>
      <c r="I18" s="91"/>
      <c r="J18" s="91">
        <v>117670</v>
      </c>
      <c r="K18" s="91">
        <v>116279</v>
      </c>
      <c r="L18" s="91">
        <v>113965</v>
      </c>
      <c r="M18" s="91">
        <v>114336</v>
      </c>
      <c r="N18" s="91"/>
      <c r="O18" s="91">
        <v>115347</v>
      </c>
      <c r="P18" s="91">
        <v>118990</v>
      </c>
      <c r="Q18" s="91">
        <v>117581</v>
      </c>
      <c r="R18" s="91">
        <v>291251</v>
      </c>
      <c r="S18" s="91"/>
      <c r="T18" s="91">
        <v>196649</v>
      </c>
      <c r="U18" s="91">
        <v>193218</v>
      </c>
      <c r="V18" s="91">
        <v>162785</v>
      </c>
      <c r="W18" s="91">
        <v>281507</v>
      </c>
      <c r="X18" s="91"/>
      <c r="Y18" s="91">
        <v>264780</v>
      </c>
      <c r="Z18" s="91">
        <v>285555</v>
      </c>
      <c r="AA18" s="91">
        <v>366590</v>
      </c>
      <c r="AB18" s="91">
        <v>551143</v>
      </c>
      <c r="AC18" s="91"/>
      <c r="AD18" s="91">
        <v>445310</v>
      </c>
      <c r="AE18" s="91">
        <v>718146</v>
      </c>
      <c r="AF18" s="91"/>
      <c r="AG18" s="91"/>
    </row>
    <row r="19" spans="1:33" s="114" customFormat="1" ht="15" customHeight="1" x14ac:dyDescent="0.3">
      <c r="A19" s="104" t="str">
        <f>IF(Menu!$D$7="Português/Portuguese",B19,C19)</f>
        <v>Estoques LP</v>
      </c>
      <c r="B19" s="104" t="s">
        <v>223</v>
      </c>
      <c r="C19" s="104" t="s">
        <v>252</v>
      </c>
      <c r="D19" s="85"/>
      <c r="E19" s="91">
        <v>381175</v>
      </c>
      <c r="F19" s="91">
        <v>428434</v>
      </c>
      <c r="G19" s="91">
        <v>491159</v>
      </c>
      <c r="H19" s="91">
        <v>656193</v>
      </c>
      <c r="I19" s="91"/>
      <c r="J19" s="91">
        <v>703008</v>
      </c>
      <c r="K19" s="91">
        <v>798765</v>
      </c>
      <c r="L19" s="91">
        <v>942552</v>
      </c>
      <c r="M19" s="91">
        <v>1039983</v>
      </c>
      <c r="N19" s="91"/>
      <c r="O19" s="91">
        <v>1134889</v>
      </c>
      <c r="P19" s="91">
        <v>1225678</v>
      </c>
      <c r="Q19" s="91">
        <v>1311820</v>
      </c>
      <c r="R19" s="91">
        <v>1412103</v>
      </c>
      <c r="S19" s="91"/>
      <c r="T19" s="91">
        <v>1501929</v>
      </c>
      <c r="U19" s="91">
        <v>1592389</v>
      </c>
      <c r="V19" s="91">
        <v>1694983</v>
      </c>
      <c r="W19" s="91">
        <v>1761172</v>
      </c>
      <c r="X19" s="91"/>
      <c r="Y19" s="91">
        <v>1859807</v>
      </c>
      <c r="Z19" s="91">
        <v>1954823</v>
      </c>
      <c r="AA19" s="91">
        <v>2030856</v>
      </c>
      <c r="AB19" s="91">
        <v>2073526</v>
      </c>
      <c r="AC19" s="91"/>
      <c r="AD19" s="91">
        <v>2136768</v>
      </c>
      <c r="AE19" s="91">
        <v>2251878</v>
      </c>
      <c r="AF19" s="91"/>
      <c r="AG19" s="91"/>
    </row>
    <row r="20" spans="1:33" s="114" customFormat="1" ht="15" customHeight="1" x14ac:dyDescent="0.3">
      <c r="A20" s="104" t="str">
        <f>IF(Menu!$D$7="Português/Portuguese",B20,C20)</f>
        <v>Outros Ativos Não Circulantes</v>
      </c>
      <c r="B20" s="104" t="s">
        <v>125</v>
      </c>
      <c r="C20" s="104" t="s">
        <v>253</v>
      </c>
      <c r="D20" s="85"/>
      <c r="E20" s="91">
        <v>264527</v>
      </c>
      <c r="F20" s="91">
        <v>243125</v>
      </c>
      <c r="G20" s="91">
        <v>218278</v>
      </c>
      <c r="H20" s="91">
        <v>193420</v>
      </c>
      <c r="I20" s="91"/>
      <c r="J20" s="91">
        <v>174364</v>
      </c>
      <c r="K20" s="91">
        <v>152313</v>
      </c>
      <c r="L20" s="91">
        <v>131693</v>
      </c>
      <c r="M20" s="91">
        <v>113131</v>
      </c>
      <c r="N20" s="91"/>
      <c r="O20" s="91">
        <v>91437</v>
      </c>
      <c r="P20" s="91">
        <v>85080</v>
      </c>
      <c r="Q20" s="91">
        <v>89512</v>
      </c>
      <c r="R20" s="91">
        <v>110926</v>
      </c>
      <c r="S20" s="91"/>
      <c r="T20" s="91">
        <v>113216</v>
      </c>
      <c r="U20" s="91">
        <v>138591</v>
      </c>
      <c r="V20" s="91">
        <v>571961</v>
      </c>
      <c r="W20" s="91">
        <v>536687</v>
      </c>
      <c r="X20" s="91"/>
      <c r="Y20" s="91">
        <v>520576</v>
      </c>
      <c r="Z20" s="91">
        <v>479813</v>
      </c>
      <c r="AA20" s="91">
        <v>472262</v>
      </c>
      <c r="AB20" s="91">
        <v>452021</v>
      </c>
      <c r="AC20" s="91"/>
      <c r="AD20" s="91">
        <v>428151</v>
      </c>
      <c r="AE20" s="91">
        <v>411781.00000000035</v>
      </c>
      <c r="AF20" s="91"/>
      <c r="AG20" s="91"/>
    </row>
    <row r="21" spans="1:33" s="134" customFormat="1" ht="15" customHeight="1" outlineLevel="1" x14ac:dyDescent="0.3">
      <c r="A21" s="132" t="str">
        <f>IF(Menu!$D$7="Português/Portuguese",B21,C21)</f>
        <v>Adiantamentos a fornecedores</v>
      </c>
      <c r="B21" s="132" t="s">
        <v>222</v>
      </c>
      <c r="C21" s="132" t="s">
        <v>248</v>
      </c>
      <c r="D21" s="85"/>
      <c r="E21" s="133">
        <v>200511</v>
      </c>
      <c r="F21" s="133">
        <v>175910</v>
      </c>
      <c r="G21" s="133">
        <v>148625</v>
      </c>
      <c r="H21" s="133">
        <v>128849</v>
      </c>
      <c r="I21" s="133"/>
      <c r="J21" s="133">
        <v>109960</v>
      </c>
      <c r="K21" s="133">
        <v>88075</v>
      </c>
      <c r="L21" s="133">
        <v>65402</v>
      </c>
      <c r="M21" s="133">
        <v>41694</v>
      </c>
      <c r="N21" s="133"/>
      <c r="O21" s="133">
        <v>16141</v>
      </c>
      <c r="P21" s="133">
        <v>239</v>
      </c>
      <c r="Q21" s="133">
        <v>2803</v>
      </c>
      <c r="R21" s="133">
        <v>4177</v>
      </c>
      <c r="S21" s="133"/>
      <c r="T21" s="133">
        <v>4341</v>
      </c>
      <c r="U21" s="133">
        <v>4341</v>
      </c>
      <c r="V21" s="133">
        <v>426087</v>
      </c>
      <c r="W21" s="133">
        <v>402406</v>
      </c>
      <c r="X21" s="133"/>
      <c r="Y21" s="133">
        <v>380330</v>
      </c>
      <c r="Z21" s="133">
        <v>353912</v>
      </c>
      <c r="AA21" s="133">
        <v>336925</v>
      </c>
      <c r="AB21" s="133">
        <v>314569</v>
      </c>
      <c r="AC21" s="133"/>
      <c r="AD21" s="133">
        <v>288816.72223000001</v>
      </c>
      <c r="AE21" s="133">
        <v>246372</v>
      </c>
      <c r="AF21" s="133"/>
      <c r="AG21" s="133"/>
    </row>
    <row r="22" spans="1:33" s="134" customFormat="1" ht="15" customHeight="1" outlineLevel="1" x14ac:dyDescent="0.3">
      <c r="A22" s="132" t="str">
        <f>IF(Menu!$D$7="Português/Portuguese",B22,C22)</f>
        <v>Outros ativos</v>
      </c>
      <c r="B22" s="132" t="s">
        <v>224</v>
      </c>
      <c r="C22" s="132" t="s">
        <v>249</v>
      </c>
      <c r="D22" s="85"/>
      <c r="E22" s="133">
        <v>64016</v>
      </c>
      <c r="F22" s="133">
        <v>67215</v>
      </c>
      <c r="G22" s="133">
        <v>69653</v>
      </c>
      <c r="H22" s="133">
        <v>64571</v>
      </c>
      <c r="I22" s="133"/>
      <c r="J22" s="133">
        <v>64404</v>
      </c>
      <c r="K22" s="133">
        <v>64238</v>
      </c>
      <c r="L22" s="133">
        <v>66291</v>
      </c>
      <c r="M22" s="133">
        <v>71437</v>
      </c>
      <c r="N22" s="133"/>
      <c r="O22" s="133">
        <v>75296</v>
      </c>
      <c r="P22" s="133">
        <v>84841</v>
      </c>
      <c r="Q22" s="133">
        <v>86709</v>
      </c>
      <c r="R22" s="133">
        <v>106749</v>
      </c>
      <c r="S22" s="133"/>
      <c r="T22" s="133">
        <v>108875</v>
      </c>
      <c r="U22" s="133">
        <v>134250</v>
      </c>
      <c r="V22" s="133">
        <v>145874</v>
      </c>
      <c r="W22" s="133">
        <v>134281</v>
      </c>
      <c r="X22" s="133"/>
      <c r="Y22" s="133">
        <v>140246</v>
      </c>
      <c r="Z22" s="133">
        <v>125901</v>
      </c>
      <c r="AA22" s="133">
        <v>135337</v>
      </c>
      <c r="AB22" s="133">
        <v>137453</v>
      </c>
      <c r="AC22" s="133"/>
      <c r="AD22" s="133">
        <v>139333.27776999999</v>
      </c>
      <c r="AE22" s="133">
        <v>145267.88422000036</v>
      </c>
      <c r="AF22" s="133"/>
      <c r="AG22" s="133"/>
    </row>
    <row r="23" spans="1:33" s="114" customFormat="1" ht="15" customHeight="1" x14ac:dyDescent="0.3">
      <c r="A23" s="104" t="str">
        <f>IF(Menu!$D$7="Português/Portuguese",B23,C23)</f>
        <v>Investimentos</v>
      </c>
      <c r="B23" s="104" t="s">
        <v>121</v>
      </c>
      <c r="C23" s="104" t="s">
        <v>120</v>
      </c>
      <c r="D23" s="85"/>
      <c r="E23" s="91">
        <v>1236512</v>
      </c>
      <c r="F23" s="91">
        <v>1271294</v>
      </c>
      <c r="G23" s="91">
        <v>1334601</v>
      </c>
      <c r="H23" s="91">
        <v>1313186</v>
      </c>
      <c r="I23" s="91"/>
      <c r="J23" s="91">
        <v>1329013</v>
      </c>
      <c r="K23" s="91">
        <v>1364642</v>
      </c>
      <c r="L23" s="91">
        <v>1421294</v>
      </c>
      <c r="M23" s="91">
        <v>1425588</v>
      </c>
      <c r="N23" s="91"/>
      <c r="O23" s="91">
        <v>1449833</v>
      </c>
      <c r="P23" s="91">
        <v>1509379</v>
      </c>
      <c r="Q23" s="91">
        <v>1577420</v>
      </c>
      <c r="R23" s="91">
        <v>1577155</v>
      </c>
      <c r="S23" s="91"/>
      <c r="T23" s="91">
        <v>1639647</v>
      </c>
      <c r="U23" s="91">
        <v>1703187</v>
      </c>
      <c r="V23" s="91">
        <v>1768310</v>
      </c>
      <c r="W23" s="91">
        <v>1774066</v>
      </c>
      <c r="X23" s="91"/>
      <c r="Y23" s="91">
        <v>1824114</v>
      </c>
      <c r="Z23" s="91">
        <v>1911552</v>
      </c>
      <c r="AA23" s="91">
        <v>1994950</v>
      </c>
      <c r="AB23" s="91">
        <v>3061007</v>
      </c>
      <c r="AC23" s="91"/>
      <c r="AD23" s="91">
        <v>2971247</v>
      </c>
      <c r="AE23" s="91">
        <v>3095981</v>
      </c>
      <c r="AF23" s="91"/>
      <c r="AG23" s="91"/>
    </row>
    <row r="24" spans="1:33" s="114" customFormat="1" ht="15" customHeight="1" x14ac:dyDescent="0.3">
      <c r="A24" s="104" t="str">
        <f>IF(Menu!$D$7="Português/Portuguese",B24,C24)</f>
        <v>Imobilizado</v>
      </c>
      <c r="B24" s="104" t="s">
        <v>119</v>
      </c>
      <c r="C24" s="104" t="s">
        <v>254</v>
      </c>
      <c r="D24" s="85"/>
      <c r="E24" s="91">
        <v>6894524</v>
      </c>
      <c r="F24" s="91">
        <v>7221814</v>
      </c>
      <c r="G24" s="91">
        <v>7433888</v>
      </c>
      <c r="H24" s="91">
        <v>7692003</v>
      </c>
      <c r="I24" s="91"/>
      <c r="J24" s="91">
        <v>7765025</v>
      </c>
      <c r="K24" s="91">
        <v>7967143</v>
      </c>
      <c r="L24" s="91">
        <v>8037440</v>
      </c>
      <c r="M24" s="91">
        <v>8356288</v>
      </c>
      <c r="N24" s="91"/>
      <c r="O24" s="91">
        <v>8385565</v>
      </c>
      <c r="P24" s="91">
        <v>8516627</v>
      </c>
      <c r="Q24" s="91">
        <v>8694229</v>
      </c>
      <c r="R24" s="91">
        <v>8958768</v>
      </c>
      <c r="S24" s="91"/>
      <c r="T24" s="91">
        <v>8945519</v>
      </c>
      <c r="U24" s="91">
        <v>9110866</v>
      </c>
      <c r="V24" s="91">
        <v>9326308</v>
      </c>
      <c r="W24" s="91">
        <v>9704951</v>
      </c>
      <c r="X24" s="91"/>
      <c r="Y24" s="91">
        <v>9820926</v>
      </c>
      <c r="Z24" s="91">
        <v>10030770</v>
      </c>
      <c r="AA24" s="91">
        <v>10356293</v>
      </c>
      <c r="AB24" s="91">
        <v>10994169</v>
      </c>
      <c r="AC24" s="91"/>
      <c r="AD24" s="91">
        <v>11190051</v>
      </c>
      <c r="AE24" s="91">
        <v>11608118</v>
      </c>
      <c r="AF24" s="91"/>
      <c r="AG24" s="91"/>
    </row>
    <row r="25" spans="1:33" s="134" customFormat="1" ht="15" customHeight="1" outlineLevel="1" x14ac:dyDescent="0.3">
      <c r="A25" s="132" t="str">
        <f>IF(Menu!$D$7="Português/Portuguese",B25,C25)</f>
        <v>Imobilizado em Operação</v>
      </c>
      <c r="B25" s="132" t="s">
        <v>118</v>
      </c>
      <c r="C25" s="132" t="s">
        <v>255</v>
      </c>
      <c r="D25" s="85"/>
      <c r="E25" s="133">
        <v>4921380</v>
      </c>
      <c r="F25" s="133">
        <v>5042709</v>
      </c>
      <c r="G25" s="133">
        <v>5364258</v>
      </c>
      <c r="H25" s="133">
        <v>5697599</v>
      </c>
      <c r="I25" s="133"/>
      <c r="J25" s="133">
        <v>5792135</v>
      </c>
      <c r="K25" s="133">
        <v>5877936</v>
      </c>
      <c r="L25" s="133">
        <v>6129805</v>
      </c>
      <c r="M25" s="133">
        <v>6767821</v>
      </c>
      <c r="N25" s="133"/>
      <c r="O25" s="133">
        <v>6674423</v>
      </c>
      <c r="P25" s="133">
        <v>6663321</v>
      </c>
      <c r="Q25" s="133">
        <v>6605488</v>
      </c>
      <c r="R25" s="133">
        <v>6934291</v>
      </c>
      <c r="S25" s="133"/>
      <c r="T25" s="133">
        <v>7020411</v>
      </c>
      <c r="U25" s="133">
        <v>7070493</v>
      </c>
      <c r="V25" s="133">
        <v>7065480</v>
      </c>
      <c r="W25" s="133">
        <v>7106751</v>
      </c>
      <c r="X25" s="133"/>
      <c r="Y25" s="133">
        <v>7011639</v>
      </c>
      <c r="Z25" s="133">
        <v>6938283</v>
      </c>
      <c r="AA25" s="133">
        <v>6915762</v>
      </c>
      <c r="AB25" s="133">
        <v>6898524</v>
      </c>
      <c r="AC25" s="133"/>
      <c r="AD25" s="133">
        <v>6802122</v>
      </c>
      <c r="AE25" s="133">
        <v>6863383</v>
      </c>
      <c r="AF25" s="133"/>
      <c r="AG25" s="133"/>
    </row>
    <row r="26" spans="1:33" s="134" customFormat="1" ht="15" customHeight="1" outlineLevel="1" x14ac:dyDescent="0.3">
      <c r="A26" s="132" t="str">
        <f>IF(Menu!$D$7="Português/Portuguese",B26,C26)</f>
        <v>Direito de Uso em Arrendamento</v>
      </c>
      <c r="B26" s="132" t="s">
        <v>117</v>
      </c>
      <c r="C26" s="132" t="s">
        <v>250</v>
      </c>
      <c r="D26" s="85"/>
      <c r="E26" s="133">
        <v>87419</v>
      </c>
      <c r="F26" s="133">
        <v>86304</v>
      </c>
      <c r="G26" s="133">
        <v>112895</v>
      </c>
      <c r="H26" s="133">
        <v>125672</v>
      </c>
      <c r="I26" s="133"/>
      <c r="J26" s="133">
        <v>123070</v>
      </c>
      <c r="K26" s="133">
        <v>136211</v>
      </c>
      <c r="L26" s="133">
        <v>132840</v>
      </c>
      <c r="M26" s="133">
        <v>129091</v>
      </c>
      <c r="N26" s="133"/>
      <c r="O26" s="133">
        <v>125522</v>
      </c>
      <c r="P26" s="133">
        <v>122312</v>
      </c>
      <c r="Q26" s="133">
        <v>117576</v>
      </c>
      <c r="R26" s="133">
        <v>116085</v>
      </c>
      <c r="S26" s="133"/>
      <c r="T26" s="133">
        <v>114593</v>
      </c>
      <c r="U26" s="133">
        <v>177471</v>
      </c>
      <c r="V26" s="133">
        <v>113056</v>
      </c>
      <c r="W26" s="133">
        <v>110239</v>
      </c>
      <c r="X26" s="133"/>
      <c r="Y26" s="133">
        <v>115601</v>
      </c>
      <c r="Z26" s="133">
        <v>110680</v>
      </c>
      <c r="AA26" s="133">
        <v>106868</v>
      </c>
      <c r="AB26" s="133">
        <v>119109</v>
      </c>
      <c r="AC26" s="133"/>
      <c r="AD26" s="133">
        <v>142777</v>
      </c>
      <c r="AE26" s="133">
        <v>135883</v>
      </c>
      <c r="AF26" s="133"/>
      <c r="AG26" s="133"/>
    </row>
    <row r="27" spans="1:33" s="134" customFormat="1" ht="15" customHeight="1" outlineLevel="1" x14ac:dyDescent="0.3">
      <c r="A27" s="132" t="str">
        <f>IF(Menu!$D$7="Português/Portuguese",B27,C27)</f>
        <v>Imobilizado em Andamento</v>
      </c>
      <c r="B27" s="132" t="s">
        <v>225</v>
      </c>
      <c r="C27" s="132" t="s">
        <v>256</v>
      </c>
      <c r="D27" s="85"/>
      <c r="E27" s="133">
        <v>1885725</v>
      </c>
      <c r="F27" s="133">
        <v>2092801</v>
      </c>
      <c r="G27" s="133">
        <v>1956735</v>
      </c>
      <c r="H27" s="133">
        <v>1868732</v>
      </c>
      <c r="I27" s="133"/>
      <c r="J27" s="133">
        <v>1849820</v>
      </c>
      <c r="K27" s="133">
        <v>1952996</v>
      </c>
      <c r="L27" s="133">
        <v>1774795</v>
      </c>
      <c r="M27" s="133">
        <v>1459376</v>
      </c>
      <c r="N27" s="133"/>
      <c r="O27" s="133">
        <v>1585620</v>
      </c>
      <c r="P27" s="133">
        <v>1730994</v>
      </c>
      <c r="Q27" s="133">
        <v>1971165</v>
      </c>
      <c r="R27" s="133">
        <v>1908392</v>
      </c>
      <c r="S27" s="133"/>
      <c r="T27" s="133">
        <v>1810515</v>
      </c>
      <c r="U27" s="133">
        <v>1922902</v>
      </c>
      <c r="V27" s="133">
        <v>2147772</v>
      </c>
      <c r="W27" s="133">
        <v>2487961</v>
      </c>
      <c r="X27" s="133"/>
      <c r="Y27" s="133">
        <v>2693686</v>
      </c>
      <c r="Z27" s="133">
        <v>2981807</v>
      </c>
      <c r="AA27" s="133">
        <v>3333663</v>
      </c>
      <c r="AB27" s="133">
        <v>3976536</v>
      </c>
      <c r="AC27" s="133"/>
      <c r="AD27" s="133">
        <v>4245152</v>
      </c>
      <c r="AE27" s="133">
        <v>4608852</v>
      </c>
      <c r="AF27" s="133"/>
      <c r="AG27" s="133"/>
    </row>
    <row r="28" spans="1:33" s="114" customFormat="1" ht="15" customHeight="1" x14ac:dyDescent="0.3">
      <c r="A28" s="104" t="str">
        <f>IF(Menu!$D$7="Português/Portuguese",B28,C28)</f>
        <v>Intangível</v>
      </c>
      <c r="B28" s="104" t="s">
        <v>116</v>
      </c>
      <c r="C28" s="104" t="s">
        <v>251</v>
      </c>
      <c r="D28" s="85"/>
      <c r="E28" s="91">
        <v>4235780</v>
      </c>
      <c r="F28" s="91">
        <v>4227960</v>
      </c>
      <c r="G28" s="91">
        <v>4222938</v>
      </c>
      <c r="H28" s="91">
        <v>4221255</v>
      </c>
      <c r="I28" s="91"/>
      <c r="J28" s="91">
        <v>4218421</v>
      </c>
      <c r="K28" s="91">
        <v>4212998</v>
      </c>
      <c r="L28" s="91">
        <v>4209409</v>
      </c>
      <c r="M28" s="91">
        <v>4387153</v>
      </c>
      <c r="N28" s="91"/>
      <c r="O28" s="91">
        <v>4380745</v>
      </c>
      <c r="P28" s="91">
        <v>4371050</v>
      </c>
      <c r="Q28" s="91">
        <v>4361658</v>
      </c>
      <c r="R28" s="91">
        <v>4352819</v>
      </c>
      <c r="S28" s="91"/>
      <c r="T28" s="91">
        <v>4345060</v>
      </c>
      <c r="U28" s="91">
        <v>4337782</v>
      </c>
      <c r="V28" s="91">
        <v>4332176</v>
      </c>
      <c r="W28" s="91">
        <v>4356721</v>
      </c>
      <c r="X28" s="91"/>
      <c r="Y28" s="91">
        <v>4350076</v>
      </c>
      <c r="Z28" s="91">
        <v>4346315</v>
      </c>
      <c r="AA28" s="91">
        <v>4338450</v>
      </c>
      <c r="AB28" s="91">
        <v>4331504</v>
      </c>
      <c r="AC28" s="91"/>
      <c r="AD28" s="91">
        <v>4326023</v>
      </c>
      <c r="AE28" s="91">
        <v>4320941</v>
      </c>
      <c r="AF28" s="91"/>
      <c r="AG28" s="91"/>
    </row>
    <row r="29" spans="1:33" s="114" customFormat="1" ht="19.5" customHeight="1" x14ac:dyDescent="0.2">
      <c r="A29" s="135" t="str">
        <f>IF(Menu!$D$7="Português/Portuguese",B29,C29)</f>
        <v>Total do Ativo</v>
      </c>
      <c r="B29" s="135" t="s">
        <v>115</v>
      </c>
      <c r="C29" s="135" t="s">
        <v>114</v>
      </c>
      <c r="D29" s="136"/>
      <c r="E29" s="137">
        <f>SUM(E16,E6)</f>
        <v>21804616</v>
      </c>
      <c r="F29" s="137">
        <f t="shared" ref="F29:AE29" si="26">SUM(F16,F6)</f>
        <v>27325969</v>
      </c>
      <c r="G29" s="137">
        <f t="shared" si="26"/>
        <v>28360581</v>
      </c>
      <c r="H29" s="137">
        <f t="shared" si="26"/>
        <v>26991134</v>
      </c>
      <c r="J29" s="137">
        <f t="shared" si="26"/>
        <v>24048078</v>
      </c>
      <c r="K29" s="137">
        <f t="shared" si="26"/>
        <v>24140611</v>
      </c>
      <c r="L29" s="137">
        <f t="shared" si="26"/>
        <v>26507955</v>
      </c>
      <c r="M29" s="137">
        <f t="shared" si="26"/>
        <v>25053596</v>
      </c>
      <c r="O29" s="137">
        <f t="shared" si="26"/>
        <v>28099792</v>
      </c>
      <c r="P29" s="137">
        <f t="shared" si="26"/>
        <v>26309254</v>
      </c>
      <c r="Q29" s="137">
        <f t="shared" si="26"/>
        <v>29625114</v>
      </c>
      <c r="R29" s="137">
        <f t="shared" si="26"/>
        <v>29690605</v>
      </c>
      <c r="T29" s="137">
        <f t="shared" si="26"/>
        <v>29725965</v>
      </c>
      <c r="U29" s="137">
        <f t="shared" si="26"/>
        <v>30855506</v>
      </c>
      <c r="V29" s="137">
        <f t="shared" si="26"/>
        <v>34460049</v>
      </c>
      <c r="W29" s="137">
        <f t="shared" si="26"/>
        <v>36390919</v>
      </c>
      <c r="Y29" s="137">
        <f t="shared" si="26"/>
        <v>35321018</v>
      </c>
      <c r="Z29" s="137">
        <f t="shared" si="26"/>
        <v>35991112</v>
      </c>
      <c r="AA29" s="137">
        <f t="shared" si="26"/>
        <v>36313111</v>
      </c>
      <c r="AB29" s="137">
        <f t="shared" si="26"/>
        <v>33553574</v>
      </c>
      <c r="AD29" s="137">
        <f t="shared" si="26"/>
        <v>34188480</v>
      </c>
      <c r="AE29" s="137">
        <f t="shared" si="26"/>
        <v>33847438</v>
      </c>
      <c r="AF29" s="137"/>
      <c r="AG29" s="137"/>
    </row>
    <row r="30" spans="1:33" s="114" customFormat="1" ht="3.75" customHeight="1" x14ac:dyDescent="0.25">
      <c r="A30" s="138">
        <f>IF(Menu!$D$7="Português/Portuguese",B30,C30)</f>
        <v>0</v>
      </c>
      <c r="B30" s="138"/>
      <c r="C30" s="138" t="s">
        <v>5</v>
      </c>
      <c r="D30" s="85"/>
    </row>
    <row r="31" spans="1:33" s="114" customFormat="1" ht="20.100000000000001" customHeight="1" x14ac:dyDescent="0.25">
      <c r="A31" s="129" t="str">
        <f>IF(Menu!$D$7="Português/Portuguese",B31,C31)</f>
        <v>Passivo e Patrimônio Líquido</v>
      </c>
      <c r="B31" s="129" t="s">
        <v>226</v>
      </c>
      <c r="C31" s="129" t="s">
        <v>113</v>
      </c>
      <c r="D31" s="85"/>
      <c r="E31" s="130"/>
      <c r="F31" s="130"/>
      <c r="G31" s="130"/>
      <c r="H31" s="130"/>
      <c r="J31" s="130"/>
      <c r="K31" s="130"/>
      <c r="L31" s="130"/>
      <c r="M31" s="130"/>
      <c r="O31" s="130"/>
      <c r="P31" s="130"/>
      <c r="Q31" s="130"/>
      <c r="R31" s="130"/>
      <c r="T31" s="130"/>
      <c r="U31" s="130"/>
      <c r="V31" s="130"/>
      <c r="W31" s="130"/>
      <c r="Y31" s="130"/>
      <c r="Z31" s="130"/>
      <c r="AA31" s="130"/>
      <c r="AB31" s="130"/>
      <c r="AD31" s="130"/>
      <c r="AE31" s="130"/>
      <c r="AF31" s="130"/>
      <c r="AG31" s="130"/>
    </row>
    <row r="32" spans="1:33" s="114" customFormat="1" ht="15" customHeight="1" collapsed="1" x14ac:dyDescent="0.25">
      <c r="A32" s="131" t="str">
        <f>IF(Menu!$D$7="Português/Portuguese",B32,C32)</f>
        <v>Passivo e Patrimônio Líquido</v>
      </c>
      <c r="B32" s="131" t="s">
        <v>226</v>
      </c>
      <c r="C32" s="131" t="s">
        <v>112</v>
      </c>
      <c r="D32" s="85"/>
      <c r="E32" s="101">
        <f>SUM(E33:E40,E44)</f>
        <v>4400123</v>
      </c>
      <c r="F32" s="101">
        <f t="shared" ref="F32" si="27">SUM(F33:F40,F44)</f>
        <v>6372933</v>
      </c>
      <c r="G32" s="101">
        <f>SUM(G33:G40,G44)</f>
        <v>7369763</v>
      </c>
      <c r="H32" s="101">
        <f>SUM(H33:H40,H44)</f>
        <v>6532583</v>
      </c>
      <c r="J32" s="101">
        <f>SUM(J33:J40,J44)</f>
        <v>3570380</v>
      </c>
      <c r="K32" s="101">
        <f t="shared" ref="K32:M32" si="28">SUM(K33:K40,K44)</f>
        <v>3806027</v>
      </c>
      <c r="L32" s="101">
        <f t="shared" si="28"/>
        <v>4204096</v>
      </c>
      <c r="M32" s="101">
        <f t="shared" si="28"/>
        <v>4642824</v>
      </c>
      <c r="O32" s="101">
        <f t="shared" ref="O32" si="29">SUM(O33:O40,O44)</f>
        <v>4256069</v>
      </c>
      <c r="P32" s="101">
        <f t="shared" ref="P32" si="30">SUM(P33:P40,P44)</f>
        <v>3833023</v>
      </c>
      <c r="Q32" s="101">
        <f>SUM(Q33:Q40,Q44)</f>
        <v>4551259</v>
      </c>
      <c r="R32" s="101">
        <f t="shared" ref="R32" si="31">SUM(R33:R40,R44)</f>
        <v>6069785</v>
      </c>
      <c r="T32" s="101">
        <f t="shared" ref="T32" si="32">SUM(T33:T40,T44)</f>
        <v>4659971</v>
      </c>
      <c r="U32" s="101">
        <f t="shared" ref="U32" si="33">SUM(U33:U40,U44)</f>
        <v>5165901</v>
      </c>
      <c r="V32" s="101">
        <f t="shared" ref="V32" si="34">SUM(V33:V40,V44)</f>
        <v>9323970</v>
      </c>
      <c r="W32" s="101">
        <f t="shared" ref="W32" si="35">SUM(W33:W40,W44)</f>
        <v>7545988</v>
      </c>
      <c r="Y32" s="101">
        <f>SUM(Y33:Y40,Y44)-1</f>
        <v>7442910</v>
      </c>
      <c r="Z32" s="101">
        <f>SUM(Z33:Z40,Z44)+1</f>
        <v>9523221</v>
      </c>
      <c r="AA32" s="101">
        <f t="shared" ref="AA32" si="36">SUM(AA33:AA40,AA44)</f>
        <v>8283088</v>
      </c>
      <c r="AB32" s="101">
        <f t="shared" ref="AB32:AE32" si="37">SUM(AB33:AB40,AB44)</f>
        <v>10039250</v>
      </c>
      <c r="AD32" s="101">
        <f t="shared" si="37"/>
        <v>9233494</v>
      </c>
      <c r="AE32" s="101">
        <f t="shared" si="37"/>
        <v>9750279</v>
      </c>
      <c r="AF32" s="101"/>
      <c r="AG32" s="101"/>
    </row>
    <row r="33" spans="1:33" s="114" customFormat="1" ht="15" customHeight="1" x14ac:dyDescent="0.3">
      <c r="A33" s="104" t="str">
        <f>IF(Menu!$D$7="Português/Portuguese",B33,C33)</f>
        <v>Obrigações Sociais e Trabalhistas</v>
      </c>
      <c r="B33" s="104" t="s">
        <v>111</v>
      </c>
      <c r="C33" s="104" t="s">
        <v>257</v>
      </c>
      <c r="D33" s="85"/>
      <c r="E33" s="91">
        <v>69211</v>
      </c>
      <c r="F33" s="91">
        <v>84912</v>
      </c>
      <c r="G33" s="91">
        <v>98304</v>
      </c>
      <c r="H33" s="91">
        <v>75320</v>
      </c>
      <c r="I33" s="91"/>
      <c r="J33" s="91">
        <v>79117</v>
      </c>
      <c r="K33" s="91">
        <v>95616</v>
      </c>
      <c r="L33" s="91">
        <v>103167</v>
      </c>
      <c r="M33" s="91">
        <v>82196</v>
      </c>
      <c r="N33" s="91"/>
      <c r="O33" s="91">
        <v>83200</v>
      </c>
      <c r="P33" s="91">
        <v>100981</v>
      </c>
      <c r="Q33" s="91">
        <v>114704</v>
      </c>
      <c r="R33" s="91">
        <v>92972</v>
      </c>
      <c r="S33" s="91"/>
      <c r="T33" s="91">
        <v>95141</v>
      </c>
      <c r="U33" s="91">
        <v>117327</v>
      </c>
      <c r="V33" s="91">
        <v>130435</v>
      </c>
      <c r="W33" s="91">
        <v>102121</v>
      </c>
      <c r="X33" s="91"/>
      <c r="Y33" s="91">
        <v>107646</v>
      </c>
      <c r="Z33" s="91">
        <v>129502</v>
      </c>
      <c r="AA33" s="91">
        <v>135688</v>
      </c>
      <c r="AB33" s="91">
        <v>107051</v>
      </c>
      <c r="AC33" s="91"/>
      <c r="AD33" s="91">
        <v>110604</v>
      </c>
      <c r="AE33" s="91">
        <v>130642</v>
      </c>
      <c r="AF33" s="91"/>
      <c r="AG33" s="91"/>
    </row>
    <row r="34" spans="1:33" s="114" customFormat="1" ht="15" customHeight="1" x14ac:dyDescent="0.3">
      <c r="A34" s="104" t="str">
        <f>IF(Menu!$D$7="Português/Portuguese",B34,C34)</f>
        <v>Fornecedores</v>
      </c>
      <c r="B34" s="104" t="s">
        <v>110</v>
      </c>
      <c r="C34" s="104" t="s">
        <v>109</v>
      </c>
      <c r="D34" s="85"/>
      <c r="E34" s="91">
        <v>1619709</v>
      </c>
      <c r="F34" s="91">
        <v>1958788</v>
      </c>
      <c r="G34" s="91">
        <v>1497437</v>
      </c>
      <c r="H34" s="91">
        <v>1150427</v>
      </c>
      <c r="I34" s="91"/>
      <c r="J34" s="91">
        <v>1111644</v>
      </c>
      <c r="K34" s="91">
        <v>1134960</v>
      </c>
      <c r="L34" s="91">
        <v>1107268</v>
      </c>
      <c r="M34" s="91">
        <v>1384390</v>
      </c>
      <c r="N34" s="91"/>
      <c r="O34" s="91">
        <v>1485456</v>
      </c>
      <c r="P34" s="91">
        <v>1555921</v>
      </c>
      <c r="Q34" s="91">
        <v>1618377</v>
      </c>
      <c r="R34" s="91">
        <v>1843187</v>
      </c>
      <c r="S34" s="91"/>
      <c r="T34" s="91">
        <v>1290963</v>
      </c>
      <c r="U34" s="91">
        <v>1786792</v>
      </c>
      <c r="V34" s="91">
        <v>1991804</v>
      </c>
      <c r="W34" s="91">
        <v>2067209</v>
      </c>
      <c r="X34" s="91"/>
      <c r="Y34" s="91">
        <v>1791588</v>
      </c>
      <c r="Z34" s="91">
        <v>1983236</v>
      </c>
      <c r="AA34" s="91">
        <v>2179892</v>
      </c>
      <c r="AB34" s="91">
        <v>2171640</v>
      </c>
      <c r="AC34" s="91"/>
      <c r="AD34" s="91">
        <v>1674759</v>
      </c>
      <c r="AE34" s="91">
        <v>2135631</v>
      </c>
      <c r="AF34" s="91"/>
      <c r="AG34" s="91"/>
    </row>
    <row r="35" spans="1:33" s="114" customFormat="1" ht="15" customHeight="1" x14ac:dyDescent="0.3">
      <c r="A35" s="104" t="str">
        <f>IF(Menu!$D$7="Português/Portuguese",B35,C35)</f>
        <v>Fornecedores Risco Sacado</v>
      </c>
      <c r="B35" s="104" t="s">
        <v>227</v>
      </c>
      <c r="C35" s="104" t="s">
        <v>258</v>
      </c>
      <c r="D35" s="85"/>
      <c r="E35" s="91">
        <v>0</v>
      </c>
      <c r="F35" s="91">
        <v>0</v>
      </c>
      <c r="G35" s="91">
        <v>0</v>
      </c>
      <c r="H35" s="91">
        <v>0</v>
      </c>
      <c r="I35" s="91"/>
      <c r="J35" s="91">
        <v>0</v>
      </c>
      <c r="K35" s="91">
        <v>0</v>
      </c>
      <c r="L35" s="91">
        <v>0</v>
      </c>
      <c r="M35" s="91">
        <v>0</v>
      </c>
      <c r="N35" s="91"/>
      <c r="O35" s="91">
        <v>0</v>
      </c>
      <c r="P35" s="91">
        <v>0</v>
      </c>
      <c r="Q35" s="91">
        <v>0</v>
      </c>
      <c r="R35" s="91">
        <v>0</v>
      </c>
      <c r="S35" s="91"/>
      <c r="T35" s="91">
        <v>0</v>
      </c>
      <c r="U35" s="91">
        <v>104617</v>
      </c>
      <c r="V35" s="91">
        <v>123718</v>
      </c>
      <c r="W35" s="91">
        <v>187773</v>
      </c>
      <c r="X35" s="91"/>
      <c r="Y35" s="91">
        <v>189448</v>
      </c>
      <c r="Z35" s="91">
        <v>204275</v>
      </c>
      <c r="AA35" s="91">
        <v>349397</v>
      </c>
      <c r="AB35" s="91">
        <v>537233</v>
      </c>
      <c r="AC35" s="91"/>
      <c r="AD35" s="91">
        <v>359710</v>
      </c>
      <c r="AE35" s="91">
        <v>172719</v>
      </c>
      <c r="AF35" s="91"/>
      <c r="AG35" s="91"/>
    </row>
    <row r="36" spans="1:33" s="114" customFormat="1" ht="15" customHeight="1" x14ac:dyDescent="0.3">
      <c r="A36" s="104" t="str">
        <f>IF(Menu!$D$7="Português/Portuguese",B36,C36)</f>
        <v>Obrigações Fiscais</v>
      </c>
      <c r="B36" s="104" t="s">
        <v>108</v>
      </c>
      <c r="C36" s="104" t="s">
        <v>259</v>
      </c>
      <c r="D36" s="85"/>
      <c r="E36" s="91">
        <v>1521982</v>
      </c>
      <c r="F36" s="91">
        <v>2605027</v>
      </c>
      <c r="G36" s="91">
        <v>2585823</v>
      </c>
      <c r="H36" s="91">
        <v>2270111</v>
      </c>
      <c r="I36" s="91"/>
      <c r="J36" s="91">
        <v>495417</v>
      </c>
      <c r="K36" s="91">
        <v>612368</v>
      </c>
      <c r="L36" s="91">
        <v>583998</v>
      </c>
      <c r="M36" s="91">
        <v>432216</v>
      </c>
      <c r="N36" s="91"/>
      <c r="O36" s="91">
        <v>460477</v>
      </c>
      <c r="P36" s="91">
        <v>345696</v>
      </c>
      <c r="Q36" s="91">
        <v>609227</v>
      </c>
      <c r="R36" s="91">
        <v>538795</v>
      </c>
      <c r="S36" s="91"/>
      <c r="T36" s="91">
        <v>228066</v>
      </c>
      <c r="U36" s="91">
        <v>460868</v>
      </c>
      <c r="V36" s="91">
        <v>198704</v>
      </c>
      <c r="W36" s="91">
        <v>219552</v>
      </c>
      <c r="X36" s="91"/>
      <c r="Y36" s="91">
        <v>225895</v>
      </c>
      <c r="Z36" s="91">
        <v>359876</v>
      </c>
      <c r="AA36" s="91">
        <v>281264</v>
      </c>
      <c r="AB36" s="91">
        <v>346416</v>
      </c>
      <c r="AC36" s="91"/>
      <c r="AD36" s="91">
        <v>234686</v>
      </c>
      <c r="AE36" s="91">
        <v>156278</v>
      </c>
      <c r="AF36" s="91"/>
      <c r="AG36" s="91"/>
    </row>
    <row r="37" spans="1:33" s="114" customFormat="1" ht="15" customHeight="1" x14ac:dyDescent="0.3">
      <c r="A37" s="104" t="str">
        <f>IF(Menu!$D$7="Português/Portuguese",B37,C37)</f>
        <v>Empréstimos e Financiamentos</v>
      </c>
      <c r="B37" s="104" t="s">
        <v>107</v>
      </c>
      <c r="C37" s="104" t="s">
        <v>106</v>
      </c>
      <c r="D37" s="85"/>
      <c r="E37" s="91">
        <v>58858</v>
      </c>
      <c r="F37" s="91">
        <v>255410</v>
      </c>
      <c r="G37" s="91">
        <v>320726</v>
      </c>
      <c r="H37" s="91">
        <v>478410</v>
      </c>
      <c r="I37" s="91"/>
      <c r="J37" s="91">
        <v>780219</v>
      </c>
      <c r="K37" s="91">
        <v>841869</v>
      </c>
      <c r="L37" s="91">
        <v>879978</v>
      </c>
      <c r="M37" s="91">
        <v>1045990</v>
      </c>
      <c r="N37" s="91"/>
      <c r="O37" s="91">
        <v>630502</v>
      </c>
      <c r="P37" s="91">
        <v>368348</v>
      </c>
      <c r="Q37" s="91">
        <v>421551</v>
      </c>
      <c r="R37" s="91">
        <v>445182</v>
      </c>
      <c r="S37" s="91"/>
      <c r="T37" s="91">
        <v>522273</v>
      </c>
      <c r="U37" s="91">
        <v>679504</v>
      </c>
      <c r="V37" s="91">
        <v>1203168</v>
      </c>
      <c r="W37" s="91">
        <v>1340018</v>
      </c>
      <c r="X37" s="91"/>
      <c r="Y37" s="91">
        <v>1090110</v>
      </c>
      <c r="Z37" s="91">
        <v>1581100</v>
      </c>
      <c r="AA37" s="91">
        <v>1562918</v>
      </c>
      <c r="AB37" s="91">
        <v>1650923</v>
      </c>
      <c r="AC37" s="91"/>
      <c r="AD37" s="91">
        <v>1524135</v>
      </c>
      <c r="AE37" s="91">
        <v>1592962</v>
      </c>
      <c r="AF37" s="91"/>
      <c r="AG37" s="91"/>
    </row>
    <row r="38" spans="1:33" s="114" customFormat="1" ht="15" customHeight="1" collapsed="1" x14ac:dyDescent="0.3">
      <c r="A38" s="104" t="str">
        <f>IF(Menu!$D$7="Português/Portuguese",B38,C38)</f>
        <v>Adiantamento de clientes</v>
      </c>
      <c r="B38" s="104" t="s">
        <v>98</v>
      </c>
      <c r="C38" s="104" t="s">
        <v>260</v>
      </c>
      <c r="D38" s="85"/>
      <c r="E38" s="91">
        <v>958304</v>
      </c>
      <c r="F38" s="91">
        <v>967924</v>
      </c>
      <c r="G38" s="91">
        <v>2685694</v>
      </c>
      <c r="H38" s="91">
        <v>1974014</v>
      </c>
      <c r="I38" s="91"/>
      <c r="J38" s="91">
        <v>892690</v>
      </c>
      <c r="K38" s="91">
        <v>868612</v>
      </c>
      <c r="L38" s="91">
        <v>1367430</v>
      </c>
      <c r="M38" s="91">
        <v>945808</v>
      </c>
      <c r="N38" s="91"/>
      <c r="O38" s="91">
        <v>916083</v>
      </c>
      <c r="P38" s="91">
        <v>1314644</v>
      </c>
      <c r="Q38" s="91">
        <v>1538878</v>
      </c>
      <c r="R38" s="91">
        <v>1710383</v>
      </c>
      <c r="S38" s="91"/>
      <c r="T38" s="91">
        <v>1600723</v>
      </c>
      <c r="U38" s="91">
        <v>1843340</v>
      </c>
      <c r="V38" s="91">
        <v>2445383</v>
      </c>
      <c r="W38" s="91">
        <v>3193893</v>
      </c>
      <c r="X38" s="91"/>
      <c r="Y38" s="91">
        <v>3585816</v>
      </c>
      <c r="Z38" s="91">
        <v>3470209</v>
      </c>
      <c r="AA38" s="91">
        <v>3594890</v>
      </c>
      <c r="AB38" s="91">
        <v>3782726</v>
      </c>
      <c r="AC38" s="91"/>
      <c r="AD38" s="91">
        <v>3888257</v>
      </c>
      <c r="AE38" s="91">
        <v>3786270</v>
      </c>
      <c r="AF38" s="91"/>
      <c r="AG38" s="91"/>
    </row>
    <row r="39" spans="1:33" s="114" customFormat="1" ht="15" customHeight="1" x14ac:dyDescent="0.3">
      <c r="A39" s="104" t="str">
        <f>IF(Menu!$D$7="Português/Portuguese",B39,C39)</f>
        <v>Dividendos e JCP a pagar</v>
      </c>
      <c r="B39" s="104" t="s">
        <v>105</v>
      </c>
      <c r="C39" s="104" t="s">
        <v>261</v>
      </c>
      <c r="D39" s="85"/>
      <c r="E39" s="91">
        <v>0</v>
      </c>
      <c r="F39" s="91">
        <v>288405</v>
      </c>
      <c r="G39" s="91">
        <v>0</v>
      </c>
      <c r="H39" s="91">
        <v>402456</v>
      </c>
      <c r="I39" s="91"/>
      <c r="J39" s="91">
        <v>-914</v>
      </c>
      <c r="K39" s="91">
        <v>-913</v>
      </c>
      <c r="L39" s="91">
        <v>0</v>
      </c>
      <c r="M39" s="91">
        <v>74566</v>
      </c>
      <c r="N39" s="91"/>
      <c r="O39" s="91">
        <v>74569</v>
      </c>
      <c r="P39" s="91">
        <v>0</v>
      </c>
      <c r="Q39" s="91">
        <v>0</v>
      </c>
      <c r="R39" s="91">
        <v>369960</v>
      </c>
      <c r="S39" s="91"/>
      <c r="T39" s="91">
        <v>369960</v>
      </c>
      <c r="U39" s="91">
        <v>0</v>
      </c>
      <c r="V39" s="91">
        <v>2930251</v>
      </c>
      <c r="W39" s="91">
        <v>179868</v>
      </c>
      <c r="X39" s="91"/>
      <c r="Y39" s="91">
        <v>178426</v>
      </c>
      <c r="Z39" s="91">
        <v>1448069</v>
      </c>
      <c r="AA39" s="91">
        <v>0</v>
      </c>
      <c r="AB39" s="91">
        <v>1163385</v>
      </c>
      <c r="AC39" s="91"/>
      <c r="AD39" s="91">
        <v>1163385</v>
      </c>
      <c r="AE39" s="91">
        <v>1163385</v>
      </c>
      <c r="AF39" s="91"/>
      <c r="AG39" s="91"/>
    </row>
    <row r="40" spans="1:33" s="114" customFormat="1" ht="15" customHeight="1" x14ac:dyDescent="0.3">
      <c r="A40" s="104" t="str">
        <f>IF(Menu!$D$7="Português/Portuguese",B40,C40)</f>
        <v>Outras Obrigações</v>
      </c>
      <c r="B40" s="104" t="s">
        <v>93</v>
      </c>
      <c r="C40" s="104" t="s">
        <v>262</v>
      </c>
      <c r="D40" s="85"/>
      <c r="E40" s="91">
        <v>165016</v>
      </c>
      <c r="F40" s="91">
        <v>206193</v>
      </c>
      <c r="G40" s="91">
        <v>174220</v>
      </c>
      <c r="H40" s="91">
        <v>175948</v>
      </c>
      <c r="I40" s="91"/>
      <c r="J40" s="91">
        <v>206565</v>
      </c>
      <c r="K40" s="91">
        <v>248053</v>
      </c>
      <c r="L40" s="91">
        <v>159564</v>
      </c>
      <c r="M40" s="91">
        <v>674542</v>
      </c>
      <c r="N40" s="91"/>
      <c r="O40" s="91">
        <v>602984</v>
      </c>
      <c r="P40" s="91">
        <v>143691</v>
      </c>
      <c r="Q40" s="91">
        <v>244999</v>
      </c>
      <c r="R40" s="91">
        <v>1065250</v>
      </c>
      <c r="S40" s="91"/>
      <c r="T40" s="91">
        <v>548146</v>
      </c>
      <c r="U40" s="91">
        <v>167422</v>
      </c>
      <c r="V40" s="91">
        <v>290203</v>
      </c>
      <c r="W40" s="91">
        <v>244602</v>
      </c>
      <c r="X40" s="91"/>
      <c r="Y40" s="91">
        <v>262475</v>
      </c>
      <c r="Z40" s="91">
        <v>336843</v>
      </c>
      <c r="AA40" s="91">
        <v>172854</v>
      </c>
      <c r="AB40" s="91">
        <v>274160</v>
      </c>
      <c r="AC40" s="91"/>
      <c r="AD40" s="91">
        <f>230789+42516</f>
        <v>273305</v>
      </c>
      <c r="AE40" s="91">
        <v>606144</v>
      </c>
      <c r="AF40" s="91"/>
      <c r="AG40" s="91"/>
    </row>
    <row r="41" spans="1:33" s="134" customFormat="1" ht="15" customHeight="1" outlineLevel="1" x14ac:dyDescent="0.3">
      <c r="A41" s="132" t="str">
        <f>IF(Menu!$D$7="Português/Portuguese",B41,C41)</f>
        <v xml:space="preserve">Passivos de arredamentos </v>
      </c>
      <c r="B41" s="132" t="s">
        <v>228</v>
      </c>
      <c r="C41" s="132" t="s">
        <v>263</v>
      </c>
      <c r="D41" s="85"/>
      <c r="E41" s="133">
        <v>7881</v>
      </c>
      <c r="F41" s="133">
        <v>7592</v>
      </c>
      <c r="G41" s="133">
        <v>10099</v>
      </c>
      <c r="H41" s="133">
        <v>19624</v>
      </c>
      <c r="I41" s="133"/>
      <c r="J41" s="133">
        <v>20302</v>
      </c>
      <c r="K41" s="133">
        <v>21651</v>
      </c>
      <c r="L41" s="133">
        <v>20921</v>
      </c>
      <c r="M41" s="133">
        <v>17533</v>
      </c>
      <c r="N41" s="133"/>
      <c r="O41" s="133">
        <v>15377</v>
      </c>
      <c r="P41" s="133">
        <v>13204</v>
      </c>
      <c r="Q41" s="133">
        <v>11998</v>
      </c>
      <c r="R41" s="133">
        <v>11412</v>
      </c>
      <c r="S41" s="133"/>
      <c r="T41" s="133">
        <v>11139</v>
      </c>
      <c r="U41" s="133">
        <v>17617</v>
      </c>
      <c r="V41" s="133">
        <v>14392</v>
      </c>
      <c r="W41" s="133">
        <v>12257</v>
      </c>
      <c r="X41" s="133"/>
      <c r="Y41" s="133">
        <v>18357</v>
      </c>
      <c r="Z41" s="133">
        <v>14795</v>
      </c>
      <c r="AA41" s="133">
        <v>12187</v>
      </c>
      <c r="AB41" s="133">
        <v>16846</v>
      </c>
      <c r="AC41" s="133"/>
      <c r="AD41" s="133">
        <v>42516</v>
      </c>
      <c r="AE41" s="133">
        <v>37285</v>
      </c>
      <c r="AF41" s="133"/>
      <c r="AG41" s="133"/>
    </row>
    <row r="42" spans="1:33" s="134" customFormat="1" ht="15" customHeight="1" outlineLevel="1" x14ac:dyDescent="0.3">
      <c r="A42" s="132" t="str">
        <f>IF(Menu!$D$7="Português/Portuguese",B42,C42)</f>
        <v>Instrumentos financeiros derivativos</v>
      </c>
      <c r="B42" s="132" t="s">
        <v>95</v>
      </c>
      <c r="C42" s="132" t="s">
        <v>264</v>
      </c>
      <c r="D42" s="85"/>
      <c r="E42" s="133">
        <v>0</v>
      </c>
      <c r="F42" s="133">
        <v>32155</v>
      </c>
      <c r="G42" s="133">
        <v>0</v>
      </c>
      <c r="H42" s="133">
        <v>0</v>
      </c>
      <c r="I42" s="133"/>
      <c r="J42" s="133">
        <v>0</v>
      </c>
      <c r="K42" s="133">
        <v>0</v>
      </c>
      <c r="L42" s="133">
        <v>0</v>
      </c>
      <c r="M42" s="133">
        <v>416935</v>
      </c>
      <c r="N42" s="133"/>
      <c r="O42" s="133">
        <v>350632</v>
      </c>
      <c r="P42" s="133">
        <v>0</v>
      </c>
      <c r="Q42" s="133">
        <v>87099</v>
      </c>
      <c r="R42" s="133">
        <v>936027</v>
      </c>
      <c r="S42" s="133"/>
      <c r="T42" s="133">
        <v>0</v>
      </c>
      <c r="U42" s="133">
        <v>0</v>
      </c>
      <c r="V42" s="133">
        <v>0</v>
      </c>
      <c r="W42" s="133">
        <v>932602</v>
      </c>
      <c r="X42" s="133"/>
      <c r="Y42" s="133">
        <v>0</v>
      </c>
      <c r="Z42" s="133">
        <v>244</v>
      </c>
      <c r="AA42" s="133">
        <v>0</v>
      </c>
      <c r="AB42" s="133">
        <v>0</v>
      </c>
      <c r="AC42" s="133"/>
      <c r="AD42" s="133">
        <v>0</v>
      </c>
      <c r="AE42" s="133">
        <v>0</v>
      </c>
      <c r="AF42" s="133"/>
      <c r="AG42" s="133"/>
    </row>
    <row r="43" spans="1:33" s="134" customFormat="1" ht="15" customHeight="1" outlineLevel="1" x14ac:dyDescent="0.3">
      <c r="A43" s="132" t="str">
        <f>IF(Menu!$D$7="Português/Portuguese",B43,C43)</f>
        <v>Outras obrigações</v>
      </c>
      <c r="B43" s="132" t="s">
        <v>99</v>
      </c>
      <c r="C43" s="132" t="s">
        <v>262</v>
      </c>
      <c r="D43" s="85"/>
      <c r="E43" s="133">
        <v>157135</v>
      </c>
      <c r="F43" s="133">
        <v>166446</v>
      </c>
      <c r="G43" s="133">
        <v>164121</v>
      </c>
      <c r="H43" s="133">
        <v>156324</v>
      </c>
      <c r="I43" s="133"/>
      <c r="J43" s="133">
        <v>186263</v>
      </c>
      <c r="K43" s="133">
        <v>226402</v>
      </c>
      <c r="L43" s="133">
        <v>138643</v>
      </c>
      <c r="M43" s="133">
        <v>240074</v>
      </c>
      <c r="N43" s="133"/>
      <c r="O43" s="133">
        <v>236975</v>
      </c>
      <c r="P43" s="133">
        <v>130487</v>
      </c>
      <c r="Q43" s="133">
        <v>145902</v>
      </c>
      <c r="R43" s="133">
        <v>117811</v>
      </c>
      <c r="S43" s="133"/>
      <c r="T43" s="133">
        <v>537007</v>
      </c>
      <c r="U43" s="133">
        <v>149805</v>
      </c>
      <c r="V43" s="133">
        <v>275811</v>
      </c>
      <c r="W43" s="133">
        <v>232345</v>
      </c>
      <c r="X43" s="133"/>
      <c r="Y43" s="133">
        <v>244118</v>
      </c>
      <c r="Z43" s="133">
        <v>321804</v>
      </c>
      <c r="AA43" s="133">
        <v>160667</v>
      </c>
      <c r="AB43" s="133">
        <v>257314</v>
      </c>
      <c r="AC43" s="133"/>
      <c r="AD43" s="133">
        <v>230789</v>
      </c>
      <c r="AE43" s="133">
        <v>568859</v>
      </c>
      <c r="AF43" s="133"/>
      <c r="AG43" s="133"/>
    </row>
    <row r="44" spans="1:33" s="114" customFormat="1" ht="15" customHeight="1" x14ac:dyDescent="0.3">
      <c r="A44" s="104" t="str">
        <f>IF(Menu!$D$7="Português/Portuguese",B44,C44)</f>
        <v>Provisões Fiscais Previdenciárias Trabalhistas e Cíveis</v>
      </c>
      <c r="B44" s="104" t="s">
        <v>229</v>
      </c>
      <c r="C44" s="104" t="s">
        <v>104</v>
      </c>
      <c r="D44" s="85"/>
      <c r="E44" s="91">
        <v>7043</v>
      </c>
      <c r="F44" s="91">
        <v>6274</v>
      </c>
      <c r="G44" s="91">
        <v>7559</v>
      </c>
      <c r="H44" s="91">
        <v>5897</v>
      </c>
      <c r="I44" s="91"/>
      <c r="J44" s="91">
        <v>5642</v>
      </c>
      <c r="K44" s="91">
        <v>5462</v>
      </c>
      <c r="L44" s="91">
        <v>2691</v>
      </c>
      <c r="M44" s="91">
        <v>3116</v>
      </c>
      <c r="N44" s="91"/>
      <c r="O44" s="91">
        <v>2798</v>
      </c>
      <c r="P44" s="91">
        <v>3742</v>
      </c>
      <c r="Q44" s="91">
        <v>3523</v>
      </c>
      <c r="R44" s="91">
        <v>4056</v>
      </c>
      <c r="S44" s="91"/>
      <c r="T44" s="91">
        <v>4699</v>
      </c>
      <c r="U44" s="91">
        <v>6031</v>
      </c>
      <c r="V44" s="91">
        <v>10304</v>
      </c>
      <c r="W44" s="91">
        <v>10952</v>
      </c>
      <c r="X44" s="91"/>
      <c r="Y44" s="91">
        <v>11507</v>
      </c>
      <c r="Z44" s="91">
        <v>10110</v>
      </c>
      <c r="AA44" s="91">
        <v>6185</v>
      </c>
      <c r="AB44" s="91">
        <v>5716</v>
      </c>
      <c r="AC44" s="91"/>
      <c r="AD44" s="91">
        <v>4653</v>
      </c>
      <c r="AE44" s="91">
        <v>6248</v>
      </c>
      <c r="AF44" s="91"/>
      <c r="AG44" s="91"/>
    </row>
    <row r="45" spans="1:33" s="114" customFormat="1" ht="15" customHeight="1" x14ac:dyDescent="0.25">
      <c r="A45" s="131" t="str">
        <f>IF(Menu!$D$7="Português/Portuguese",B45,C45)</f>
        <v>Passivo Não Circulante</v>
      </c>
      <c r="B45" s="131" t="s">
        <v>103</v>
      </c>
      <c r="C45" s="131" t="s">
        <v>102</v>
      </c>
      <c r="D45" s="85"/>
      <c r="E45" s="101">
        <f>SUM(E46:E50,E54:E55)</f>
        <v>4159918</v>
      </c>
      <c r="F45" s="101">
        <f>SUM(F46:F50,F54:F55)</f>
        <v>5462071</v>
      </c>
      <c r="G45" s="101">
        <f>SUM(G46:G50,G54:G55)</f>
        <v>6751226</v>
      </c>
      <c r="H45" s="101">
        <f>SUM(H46:H50,H54:H55)</f>
        <v>6460264</v>
      </c>
      <c r="J45" s="101">
        <f t="shared" ref="J45:L45" si="38">SUM(J46:J50,J54:J55)</f>
        <v>5737786</v>
      </c>
      <c r="K45" s="101">
        <f t="shared" si="38"/>
        <v>7589126</v>
      </c>
      <c r="L45" s="101">
        <f t="shared" si="38"/>
        <v>9135718</v>
      </c>
      <c r="M45" s="101">
        <f>SUM(M46:M50,M54:M55)</f>
        <v>9017345</v>
      </c>
      <c r="O45" s="101">
        <f t="shared" ref="O45:R45" si="39">SUM(O46:O50,O54:O55)</f>
        <v>11753880</v>
      </c>
      <c r="P45" s="101">
        <f t="shared" si="39"/>
        <v>12011586</v>
      </c>
      <c r="Q45" s="101">
        <f t="shared" si="39"/>
        <v>13629631</v>
      </c>
      <c r="R45" s="101">
        <f t="shared" si="39"/>
        <v>12922123</v>
      </c>
      <c r="T45" s="101">
        <f t="shared" ref="T45:U45" si="40">SUM(T46:T50,T54:T55)</f>
        <v>12981588</v>
      </c>
      <c r="U45" s="101">
        <f t="shared" si="40"/>
        <v>13943091</v>
      </c>
      <c r="V45" s="101">
        <f t="shared" ref="V45" si="41">SUM(V46:V50,V54:V55)</f>
        <v>16190749</v>
      </c>
      <c r="W45" s="101">
        <f t="shared" ref="W45" si="42">SUM(W46:W50,W54:W55)</f>
        <v>18575817</v>
      </c>
      <c r="Y45" s="101">
        <f>SUM(Y46:Y50,Y54:Y55)-1</f>
        <v>17643191</v>
      </c>
      <c r="Z45" s="101">
        <f>SUM(Z46:Z50,Z54:Z55)+1</f>
        <v>17229558</v>
      </c>
      <c r="AA45" s="101">
        <f t="shared" ref="AA45" si="43">SUM(AA46:AA50,AA54:AA55)</f>
        <v>17931735</v>
      </c>
      <c r="AB45" s="101">
        <f t="shared" ref="AB45" si="44">SUM(AB46:AB50,AB54:AB55)</f>
        <v>16833516</v>
      </c>
      <c r="AD45" s="101">
        <f>SUM(AD46:AD50,AD54:AD55)</f>
        <v>17874241</v>
      </c>
      <c r="AE45" s="101">
        <f>SUM(AE46:AE50,AE54:AE55)</f>
        <v>16757558</v>
      </c>
      <c r="AF45" s="101"/>
      <c r="AG45" s="101"/>
    </row>
    <row r="46" spans="1:33" s="114" customFormat="1" ht="15" customHeight="1" x14ac:dyDescent="0.3">
      <c r="A46" s="104" t="str">
        <f>IF(Menu!$D$7="Português/Portuguese",B46,C46)</f>
        <v>Empréstimos, Financiamentos e Debêntures</v>
      </c>
      <c r="B46" s="104" t="s">
        <v>101</v>
      </c>
      <c r="C46" s="104" t="s">
        <v>100</v>
      </c>
      <c r="D46" s="85"/>
      <c r="E46" s="91">
        <v>1336424</v>
      </c>
      <c r="F46" s="91">
        <v>2914860</v>
      </c>
      <c r="G46" s="91">
        <v>4330093</v>
      </c>
      <c r="H46" s="91">
        <v>4234652</v>
      </c>
      <c r="I46" s="91"/>
      <c r="J46" s="91">
        <v>3539568</v>
      </c>
      <c r="K46" s="91">
        <v>5821626</v>
      </c>
      <c r="L46" s="91">
        <v>7304525</v>
      </c>
      <c r="M46" s="91">
        <v>7350418</v>
      </c>
      <c r="N46" s="91"/>
      <c r="O46" s="91">
        <v>7663576</v>
      </c>
      <c r="P46" s="91">
        <v>7209500</v>
      </c>
      <c r="Q46" s="91">
        <v>8026569</v>
      </c>
      <c r="R46" s="91">
        <v>7733799</v>
      </c>
      <c r="S46" s="91"/>
      <c r="T46" s="91">
        <v>7800116</v>
      </c>
      <c r="U46" s="91">
        <v>8220235</v>
      </c>
      <c r="V46" s="91">
        <v>7537172</v>
      </c>
      <c r="W46" s="91">
        <v>8788702</v>
      </c>
      <c r="X46" s="91"/>
      <c r="Y46" s="91">
        <v>8734886</v>
      </c>
      <c r="Z46" s="91">
        <v>7688668</v>
      </c>
      <c r="AA46" s="91">
        <v>7672686</v>
      </c>
      <c r="AB46" s="91">
        <v>7535494</v>
      </c>
      <c r="AC46" s="91"/>
      <c r="AD46" s="91">
        <v>7605580</v>
      </c>
      <c r="AE46" s="91">
        <v>7371544</v>
      </c>
      <c r="AF46" s="91"/>
      <c r="AG46" s="91"/>
    </row>
    <row r="47" spans="1:33" s="114" customFormat="1" ht="15" customHeight="1" x14ac:dyDescent="0.3">
      <c r="A47" s="104" t="str">
        <f>IF(Menu!$D$7="Português/Portuguese",B47,C47)</f>
        <v>Fornecedores</v>
      </c>
      <c r="B47" s="104" t="s">
        <v>110</v>
      </c>
      <c r="C47" s="104" t="s">
        <v>265</v>
      </c>
      <c r="D47" s="85"/>
      <c r="E47" s="91">
        <v>79768</v>
      </c>
      <c r="F47" s="91">
        <v>57824</v>
      </c>
      <c r="G47" s="91">
        <v>49652</v>
      </c>
      <c r="H47" s="91">
        <v>54113</v>
      </c>
      <c r="I47" s="91"/>
      <c r="J47" s="91">
        <v>35834</v>
      </c>
      <c r="K47" s="91">
        <v>28391</v>
      </c>
      <c r="L47" s="91">
        <v>21462</v>
      </c>
      <c r="M47" s="91">
        <v>31917</v>
      </c>
      <c r="N47" s="91"/>
      <c r="O47" s="91">
        <v>11620</v>
      </c>
      <c r="P47" s="91">
        <v>8153</v>
      </c>
      <c r="Q47" s="91">
        <v>4388</v>
      </c>
      <c r="R47" s="91">
        <v>14987</v>
      </c>
      <c r="S47" s="91"/>
      <c r="T47" s="91">
        <v>8396</v>
      </c>
      <c r="U47" s="91">
        <v>3697</v>
      </c>
      <c r="V47" s="91">
        <v>3113</v>
      </c>
      <c r="W47" s="91">
        <v>42324</v>
      </c>
      <c r="X47" s="91"/>
      <c r="Y47" s="91">
        <v>4907</v>
      </c>
      <c r="Z47" s="91">
        <v>804</v>
      </c>
      <c r="AA47" s="91">
        <v>955</v>
      </c>
      <c r="AB47" s="91">
        <v>2503</v>
      </c>
      <c r="AC47" s="91"/>
      <c r="AD47" s="91">
        <v>2608</v>
      </c>
      <c r="AE47" s="91">
        <v>1838</v>
      </c>
      <c r="AF47" s="91"/>
      <c r="AG47" s="91"/>
    </row>
    <row r="48" spans="1:33" s="114" customFormat="1" ht="15" customHeight="1" x14ac:dyDescent="0.3">
      <c r="A48" s="104" t="str">
        <f>IF(Menu!$D$7="Português/Portuguese",B48,C48)</f>
        <v>Adiantamento de clientes</v>
      </c>
      <c r="B48" s="104" t="s">
        <v>98</v>
      </c>
      <c r="C48" s="104" t="s">
        <v>97</v>
      </c>
      <c r="D48" s="85"/>
      <c r="E48" s="91">
        <v>1510889</v>
      </c>
      <c r="F48" s="91">
        <v>1250461</v>
      </c>
      <c r="G48" s="91">
        <v>1122586</v>
      </c>
      <c r="H48" s="91">
        <v>945100</v>
      </c>
      <c r="I48" s="91"/>
      <c r="J48" s="91">
        <v>781101</v>
      </c>
      <c r="K48" s="91">
        <v>572522</v>
      </c>
      <c r="L48" s="91">
        <v>740641</v>
      </c>
      <c r="M48" s="91">
        <v>637188</v>
      </c>
      <c r="N48" s="91"/>
      <c r="O48" s="91">
        <v>3028512</v>
      </c>
      <c r="P48" s="91">
        <v>3534768</v>
      </c>
      <c r="Q48" s="91">
        <v>4462025</v>
      </c>
      <c r="R48" s="91">
        <v>4168120</v>
      </c>
      <c r="S48" s="91"/>
      <c r="T48" s="91">
        <v>3757129</v>
      </c>
      <c r="U48" s="91">
        <v>4695586</v>
      </c>
      <c r="V48" s="91">
        <v>7585071</v>
      </c>
      <c r="W48" s="91">
        <v>8808268</v>
      </c>
      <c r="X48" s="91"/>
      <c r="Y48" s="91">
        <v>7936435</v>
      </c>
      <c r="Z48" s="91">
        <v>8438870</v>
      </c>
      <c r="AA48" s="91">
        <v>9020518</v>
      </c>
      <c r="AB48" s="91">
        <v>8128989</v>
      </c>
      <c r="AC48" s="91"/>
      <c r="AD48" s="91">
        <v>8991703</v>
      </c>
      <c r="AE48" s="91">
        <v>7987367</v>
      </c>
      <c r="AF48" s="91"/>
      <c r="AG48" s="91"/>
    </row>
    <row r="49" spans="1:33" s="114" customFormat="1" ht="15" customHeight="1" x14ac:dyDescent="0.3">
      <c r="A49" s="104" t="str">
        <f>IF(Menu!$D$7="Português/Portuguese",B49,C49)</f>
        <v>Passivos ambientais e desativação</v>
      </c>
      <c r="B49" s="104" t="s">
        <v>230</v>
      </c>
      <c r="C49" s="104" t="s">
        <v>266</v>
      </c>
      <c r="D49" s="85"/>
      <c r="E49" s="91">
        <v>460050</v>
      </c>
      <c r="F49" s="91">
        <v>474243</v>
      </c>
      <c r="G49" s="91">
        <v>489213</v>
      </c>
      <c r="H49" s="91">
        <v>513745</v>
      </c>
      <c r="I49" s="91"/>
      <c r="J49" s="91">
        <v>529409</v>
      </c>
      <c r="K49" s="91">
        <v>527820</v>
      </c>
      <c r="L49" s="91">
        <v>490858</v>
      </c>
      <c r="M49" s="91">
        <v>486275</v>
      </c>
      <c r="N49" s="91"/>
      <c r="O49" s="91">
        <v>495593</v>
      </c>
      <c r="P49" s="91">
        <v>507245</v>
      </c>
      <c r="Q49" s="91">
        <v>516834</v>
      </c>
      <c r="R49" s="91">
        <v>531046</v>
      </c>
      <c r="S49" s="91"/>
      <c r="T49" s="91">
        <v>554025</v>
      </c>
      <c r="U49" s="91">
        <v>569185</v>
      </c>
      <c r="V49" s="91">
        <v>582839</v>
      </c>
      <c r="W49" s="91">
        <v>605167</v>
      </c>
      <c r="X49" s="91"/>
      <c r="Y49" s="91">
        <v>635668</v>
      </c>
      <c r="Z49" s="91">
        <v>652797</v>
      </c>
      <c r="AA49" s="91">
        <v>671748</v>
      </c>
      <c r="AB49" s="91">
        <v>681783</v>
      </c>
      <c r="AC49" s="91"/>
      <c r="AD49" s="91">
        <v>703734</v>
      </c>
      <c r="AE49" s="91">
        <v>733310</v>
      </c>
      <c r="AF49" s="91"/>
      <c r="AG49" s="91"/>
    </row>
    <row r="50" spans="1:33" s="114" customFormat="1" ht="15" customHeight="1" x14ac:dyDescent="0.3">
      <c r="A50" s="104" t="str">
        <f>IF(Menu!$D$7="Português/Portuguese",B50,C50)</f>
        <v>Outras Obrigações</v>
      </c>
      <c r="B50" s="104" t="s">
        <v>93</v>
      </c>
      <c r="C50" s="104" t="s">
        <v>262</v>
      </c>
      <c r="D50" s="85"/>
      <c r="E50" s="91">
        <v>299565</v>
      </c>
      <c r="F50" s="91">
        <v>291679</v>
      </c>
      <c r="G50" s="91">
        <v>301970</v>
      </c>
      <c r="H50" s="91">
        <v>304430</v>
      </c>
      <c r="I50" s="91"/>
      <c r="J50" s="91">
        <v>449330</v>
      </c>
      <c r="K50" s="91">
        <v>398684</v>
      </c>
      <c r="L50" s="91">
        <v>344095</v>
      </c>
      <c r="M50" s="91">
        <v>365554</v>
      </c>
      <c r="N50" s="91"/>
      <c r="O50" s="91">
        <v>320214</v>
      </c>
      <c r="P50" s="91">
        <v>312536</v>
      </c>
      <c r="Q50" s="91">
        <v>301923</v>
      </c>
      <c r="R50" s="91">
        <v>287074</v>
      </c>
      <c r="S50" s="91"/>
      <c r="T50" s="91">
        <v>257124</v>
      </c>
      <c r="U50" s="91">
        <v>245289</v>
      </c>
      <c r="V50" s="91">
        <v>235191</v>
      </c>
      <c r="W50" s="91">
        <v>232789</v>
      </c>
      <c r="X50" s="91"/>
      <c r="Y50" s="91">
        <v>215260</v>
      </c>
      <c r="Z50" s="91">
        <v>213506</v>
      </c>
      <c r="AA50" s="91">
        <v>207632</v>
      </c>
      <c r="AB50" s="91">
        <v>213609</v>
      </c>
      <c r="AC50" s="91"/>
      <c r="AD50" s="91">
        <f>SUM(AD51:AD53)</f>
        <v>206300</v>
      </c>
      <c r="AE50" s="91">
        <v>203179</v>
      </c>
      <c r="AF50" s="91"/>
      <c r="AG50" s="91"/>
    </row>
    <row r="51" spans="1:33" s="134" customFormat="1" ht="15" customHeight="1" outlineLevel="1" x14ac:dyDescent="0.3">
      <c r="A51" s="132" t="str">
        <f>IF(Menu!$D$7="Português/Portuguese",B51,C51)</f>
        <v>Passivos de Arrendamento</v>
      </c>
      <c r="B51" s="132" t="s">
        <v>96</v>
      </c>
      <c r="C51" s="132" t="s">
        <v>263</v>
      </c>
      <c r="D51" s="85"/>
      <c r="E51" s="133">
        <v>79459</v>
      </c>
      <c r="F51" s="133">
        <v>79215</v>
      </c>
      <c r="G51" s="133">
        <v>104088</v>
      </c>
      <c r="H51" s="133">
        <v>108433</v>
      </c>
      <c r="I51" s="133"/>
      <c r="J51" s="133">
        <v>105662</v>
      </c>
      <c r="K51" s="133">
        <v>119347</v>
      </c>
      <c r="L51" s="133">
        <v>117711</v>
      </c>
      <c r="M51" s="133">
        <v>117847</v>
      </c>
      <c r="N51" s="133"/>
      <c r="O51" s="133">
        <v>117422</v>
      </c>
      <c r="P51" s="133">
        <v>116988</v>
      </c>
      <c r="Q51" s="133">
        <v>114068</v>
      </c>
      <c r="R51" s="133">
        <v>113627</v>
      </c>
      <c r="S51" s="133"/>
      <c r="T51" s="133">
        <v>113176</v>
      </c>
      <c r="U51" s="133">
        <v>110604</v>
      </c>
      <c r="V51" s="133">
        <v>110144</v>
      </c>
      <c r="W51" s="133">
        <v>110071</v>
      </c>
      <c r="X51" s="133"/>
      <c r="Y51" s="133">
        <v>110720</v>
      </c>
      <c r="Z51" s="133">
        <v>110009</v>
      </c>
      <c r="AA51" s="133">
        <v>109394</v>
      </c>
      <c r="AB51" s="133">
        <v>117768</v>
      </c>
      <c r="AC51" s="133"/>
      <c r="AD51" s="133">
        <v>117089</v>
      </c>
      <c r="AE51" s="133">
        <v>116396</v>
      </c>
      <c r="AF51" s="133"/>
      <c r="AG51" s="133"/>
    </row>
    <row r="52" spans="1:33" s="134" customFormat="1" ht="15" customHeight="1" outlineLevel="1" x14ac:dyDescent="0.3">
      <c r="A52" s="132" t="str">
        <f>IF(Menu!$D$7="Português/Portuguese",B52,C52)</f>
        <v>Tributos a Recolher</v>
      </c>
      <c r="B52" s="132" t="s">
        <v>231</v>
      </c>
      <c r="C52" s="132" t="s">
        <v>267</v>
      </c>
      <c r="D52" s="85"/>
      <c r="E52" s="133">
        <v>156189</v>
      </c>
      <c r="F52" s="133">
        <v>146317</v>
      </c>
      <c r="G52" s="133">
        <v>129505</v>
      </c>
      <c r="H52" s="133">
        <v>125391</v>
      </c>
      <c r="I52" s="133"/>
      <c r="J52" s="133">
        <v>291670</v>
      </c>
      <c r="K52" s="133">
        <v>225553</v>
      </c>
      <c r="L52" s="133">
        <v>170814</v>
      </c>
      <c r="M52" s="133">
        <v>113055</v>
      </c>
      <c r="N52" s="133"/>
      <c r="O52" s="133">
        <v>87739</v>
      </c>
      <c r="P52" s="133">
        <v>79762</v>
      </c>
      <c r="Q52" s="133">
        <v>71332</v>
      </c>
      <c r="R52" s="133">
        <v>57215</v>
      </c>
      <c r="S52" s="133"/>
      <c r="T52" s="133">
        <v>47888</v>
      </c>
      <c r="U52" s="133">
        <v>38142</v>
      </c>
      <c r="V52" s="133">
        <v>28020</v>
      </c>
      <c r="W52" s="133">
        <v>20482</v>
      </c>
      <c r="X52" s="133"/>
      <c r="Y52" s="133">
        <v>18754</v>
      </c>
      <c r="Z52" s="133">
        <v>16987</v>
      </c>
      <c r="AA52" s="133">
        <v>15188</v>
      </c>
      <c r="AB52" s="133">
        <v>13318</v>
      </c>
      <c r="AC52" s="133"/>
      <c r="AD52" s="133">
        <v>11342</v>
      </c>
      <c r="AE52" s="133">
        <v>9416</v>
      </c>
      <c r="AF52" s="133"/>
      <c r="AG52" s="133"/>
    </row>
    <row r="53" spans="1:33" s="134" customFormat="1" ht="15" customHeight="1" outlineLevel="1" collapsed="1" x14ac:dyDescent="0.3">
      <c r="A53" s="132" t="str">
        <f>IF(Menu!$D$7="Português/Portuguese",B53,C53)</f>
        <v>Outras Contas a Pagar</v>
      </c>
      <c r="B53" s="132" t="s">
        <v>232</v>
      </c>
      <c r="C53" s="132" t="s">
        <v>268</v>
      </c>
      <c r="D53" s="85"/>
      <c r="E53" s="133">
        <v>63917</v>
      </c>
      <c r="F53" s="133">
        <v>66147</v>
      </c>
      <c r="G53" s="133">
        <v>68377</v>
      </c>
      <c r="H53" s="133">
        <v>70606</v>
      </c>
      <c r="I53" s="133"/>
      <c r="J53" s="133">
        <v>51998</v>
      </c>
      <c r="K53" s="133">
        <v>53784</v>
      </c>
      <c r="L53" s="133">
        <v>55570</v>
      </c>
      <c r="M53" s="133">
        <v>134652</v>
      </c>
      <c r="N53" s="133"/>
      <c r="O53" s="133">
        <v>115053</v>
      </c>
      <c r="P53" s="133">
        <v>115786</v>
      </c>
      <c r="Q53" s="133">
        <v>116523</v>
      </c>
      <c r="R53" s="133">
        <v>116233</v>
      </c>
      <c r="S53" s="133"/>
      <c r="T53" s="133">
        <v>96600</v>
      </c>
      <c r="U53" s="133">
        <v>96543</v>
      </c>
      <c r="V53" s="133">
        <v>97027</v>
      </c>
      <c r="W53" s="133">
        <v>102236</v>
      </c>
      <c r="X53" s="133"/>
      <c r="Y53" s="133">
        <v>85786</v>
      </c>
      <c r="Z53" s="133">
        <v>86511</v>
      </c>
      <c r="AA53" s="133">
        <v>83050</v>
      </c>
      <c r="AB53" s="133">
        <v>82523</v>
      </c>
      <c r="AC53" s="133"/>
      <c r="AD53" s="91">
        <v>77869</v>
      </c>
      <c r="AE53" s="91">
        <v>77367</v>
      </c>
      <c r="AF53" s="133"/>
      <c r="AG53" s="133"/>
    </row>
    <row r="54" spans="1:33" s="114" customFormat="1" ht="15" customHeight="1" x14ac:dyDescent="0.3">
      <c r="A54" s="104" t="str">
        <f>IF(Menu!$D$7="Português/Portuguese",B54,C54)</f>
        <v>Tributos Diferidos</v>
      </c>
      <c r="B54" s="104" t="s">
        <v>92</v>
      </c>
      <c r="C54" s="104" t="s">
        <v>269</v>
      </c>
      <c r="D54" s="85"/>
      <c r="E54" s="91">
        <v>417936</v>
      </c>
      <c r="F54" s="91">
        <v>417928</v>
      </c>
      <c r="G54" s="91">
        <v>405073</v>
      </c>
      <c r="H54" s="91">
        <v>352231</v>
      </c>
      <c r="I54" s="91"/>
      <c r="J54" s="91">
        <v>346395</v>
      </c>
      <c r="K54" s="91">
        <v>183234</v>
      </c>
      <c r="L54" s="91">
        <v>169360</v>
      </c>
      <c r="M54" s="91">
        <v>81323</v>
      </c>
      <c r="N54" s="91"/>
      <c r="O54" s="91">
        <v>163537</v>
      </c>
      <c r="P54" s="91">
        <v>366454</v>
      </c>
      <c r="Q54" s="91">
        <v>242928</v>
      </c>
      <c r="R54" s="91">
        <v>114050</v>
      </c>
      <c r="S54" s="91"/>
      <c r="T54" s="91">
        <v>525209</v>
      </c>
      <c r="U54" s="91">
        <v>118651</v>
      </c>
      <c r="V54" s="91">
        <v>152946</v>
      </c>
      <c r="W54" s="91">
        <v>0</v>
      </c>
      <c r="X54" s="91"/>
      <c r="Y54" s="91">
        <v>9520</v>
      </c>
      <c r="Z54" s="91">
        <v>119540</v>
      </c>
      <c r="AA54" s="91">
        <v>233873</v>
      </c>
      <c r="AB54" s="91">
        <v>132773</v>
      </c>
      <c r="AC54" s="91"/>
      <c r="AD54" s="91">
        <v>220659</v>
      </c>
      <c r="AE54" s="91">
        <v>322047</v>
      </c>
      <c r="AF54" s="91"/>
      <c r="AG54" s="91"/>
    </row>
    <row r="55" spans="1:33" s="114" customFormat="1" ht="15" customHeight="1" x14ac:dyDescent="0.3">
      <c r="A55" s="104" t="str">
        <f>IF(Menu!$D$7="Português/Portuguese",B55,C55)</f>
        <v>Provisões Fiscais, Previdenciárias, Trabalhistas e Cívies</v>
      </c>
      <c r="B55" s="104" t="s">
        <v>90</v>
      </c>
      <c r="C55" s="104" t="s">
        <v>104</v>
      </c>
      <c r="D55" s="85"/>
      <c r="E55" s="91">
        <v>55286</v>
      </c>
      <c r="F55" s="91">
        <v>55076</v>
      </c>
      <c r="G55" s="91">
        <v>52639</v>
      </c>
      <c r="H55" s="91">
        <v>55993</v>
      </c>
      <c r="I55" s="91"/>
      <c r="J55" s="91">
        <v>56149</v>
      </c>
      <c r="K55" s="91">
        <v>56849</v>
      </c>
      <c r="L55" s="91">
        <v>64777</v>
      </c>
      <c r="M55" s="91">
        <v>64670</v>
      </c>
      <c r="N55" s="91"/>
      <c r="O55" s="91">
        <v>70828</v>
      </c>
      <c r="P55" s="91">
        <v>72930</v>
      </c>
      <c r="Q55" s="91">
        <v>74964</v>
      </c>
      <c r="R55" s="91">
        <v>73047</v>
      </c>
      <c r="S55" s="91"/>
      <c r="T55" s="91">
        <v>79589</v>
      </c>
      <c r="U55" s="91">
        <v>90448</v>
      </c>
      <c r="V55" s="91">
        <v>94417</v>
      </c>
      <c r="W55" s="91">
        <v>98567</v>
      </c>
      <c r="X55" s="91"/>
      <c r="Y55" s="91">
        <v>106516</v>
      </c>
      <c r="Z55" s="91">
        <v>115372</v>
      </c>
      <c r="AA55" s="91">
        <v>124323</v>
      </c>
      <c r="AB55" s="91">
        <v>138365</v>
      </c>
      <c r="AC55" s="91"/>
      <c r="AD55" s="91">
        <v>143657</v>
      </c>
      <c r="AE55" s="91">
        <v>138273</v>
      </c>
      <c r="AF55" s="91"/>
      <c r="AG55" s="91"/>
    </row>
    <row r="56" spans="1:33" s="114" customFormat="1" ht="15" customHeight="1" collapsed="1" x14ac:dyDescent="0.25">
      <c r="A56" s="131" t="str">
        <f>IF(Menu!$D$7="Português/Portuguese",B56,C56)</f>
        <v>Patrimônio Líquido</v>
      </c>
      <c r="B56" s="131" t="s">
        <v>89</v>
      </c>
      <c r="C56" s="131" t="s">
        <v>88</v>
      </c>
      <c r="D56" s="85"/>
      <c r="E56" s="101">
        <f>SUM(E57:E64)</f>
        <v>13244575</v>
      </c>
      <c r="F56" s="101">
        <f t="shared" ref="F56:H56" si="45">SUM(F57:F64)</f>
        <v>15490965</v>
      </c>
      <c r="G56" s="101">
        <f t="shared" si="45"/>
        <v>14239592</v>
      </c>
      <c r="H56" s="101">
        <f t="shared" si="45"/>
        <v>13998287</v>
      </c>
      <c r="J56" s="101">
        <f t="shared" ref="J56" si="46">SUM(J57:J64)</f>
        <v>14739912</v>
      </c>
      <c r="K56" s="101">
        <f>SUM(K57:K64)</f>
        <v>12745458</v>
      </c>
      <c r="L56" s="101">
        <f t="shared" ref="L56" si="47">SUM(L57:L64)</f>
        <v>13168141</v>
      </c>
      <c r="M56" s="101">
        <f t="shared" ref="M56" si="48">SUM(M57:M64)</f>
        <v>11393427</v>
      </c>
      <c r="O56" s="101">
        <f t="shared" ref="O56" si="49">SUM(O57:O64)</f>
        <v>12089843</v>
      </c>
      <c r="P56" s="101">
        <f t="shared" ref="P56" si="50">SUM(P57:P64)</f>
        <v>10464645</v>
      </c>
      <c r="Q56" s="101">
        <f t="shared" ref="Q56" si="51">SUM(Q57:Q64)</f>
        <v>11444224</v>
      </c>
      <c r="R56" s="101">
        <f t="shared" ref="R56" si="52">SUM(R57:R64)</f>
        <v>10698697</v>
      </c>
      <c r="T56" s="101">
        <f t="shared" ref="T56" si="53">SUM(T57:T64)</f>
        <v>12084406</v>
      </c>
      <c r="U56" s="101">
        <f t="shared" ref="U56" si="54">SUM(U57:U64)</f>
        <v>11746514</v>
      </c>
      <c r="V56" s="101">
        <f t="shared" ref="V56" si="55">SUM(V57:V64)</f>
        <v>8945330</v>
      </c>
      <c r="W56" s="101">
        <f t="shared" ref="W56" si="56">SUM(W57:W64)</f>
        <v>10269114</v>
      </c>
      <c r="Y56" s="101">
        <f>SUM(Y57:Y64)-2</f>
        <v>10234916</v>
      </c>
      <c r="Z56" s="101">
        <f t="shared" ref="Z56" si="57">SUM(Z57:Z64)</f>
        <v>9238333</v>
      </c>
      <c r="AA56" s="101">
        <f t="shared" ref="AA56" si="58">SUM(AA57:AA64)</f>
        <v>10098288</v>
      </c>
      <c r="AB56" s="101">
        <f t="shared" ref="AB56:AE56" si="59">SUM(AB57:AB64)</f>
        <v>6680808</v>
      </c>
      <c r="AD56" s="101">
        <f t="shared" si="59"/>
        <v>7080745</v>
      </c>
      <c r="AE56" s="101">
        <f t="shared" si="59"/>
        <v>7339601</v>
      </c>
      <c r="AF56" s="101"/>
      <c r="AG56" s="101"/>
    </row>
    <row r="57" spans="1:33" s="114" customFormat="1" ht="15" customHeight="1" collapsed="1" x14ac:dyDescent="0.25">
      <c r="A57" s="131" t="str">
        <f>IF(Menu!$D$7="Português/Portuguese",B57,C57)</f>
        <v>Capital Social Realizado</v>
      </c>
      <c r="B57" s="131" t="s">
        <v>87</v>
      </c>
      <c r="C57" s="131" t="s">
        <v>236</v>
      </c>
      <c r="D57" s="85"/>
      <c r="E57" s="101">
        <v>7473980</v>
      </c>
      <c r="F57" s="101">
        <v>7473980</v>
      </c>
      <c r="G57" s="101">
        <v>7473980</v>
      </c>
      <c r="H57" s="101">
        <v>7473980</v>
      </c>
      <c r="J57" s="101">
        <v>7473980</v>
      </c>
      <c r="K57" s="101">
        <v>7473980</v>
      </c>
      <c r="L57" s="101">
        <v>7473980</v>
      </c>
      <c r="M57" s="101">
        <v>7473980</v>
      </c>
      <c r="O57" s="101">
        <v>7473980</v>
      </c>
      <c r="P57" s="101">
        <v>7473980</v>
      </c>
      <c r="Q57" s="101">
        <v>7473980</v>
      </c>
      <c r="R57" s="101">
        <v>7473980</v>
      </c>
      <c r="T57" s="101">
        <v>7473980</v>
      </c>
      <c r="U57" s="101">
        <v>7473980</v>
      </c>
      <c r="V57" s="101">
        <f>[2]Sheet1!B50</f>
        <v>7473980</v>
      </c>
      <c r="W57" s="101">
        <f>[2]Sheet1!C50</f>
        <v>7473980</v>
      </c>
      <c r="Y57" s="101">
        <v>7473980</v>
      </c>
      <c r="Z57" s="101">
        <v>7473980</v>
      </c>
      <c r="AA57" s="101">
        <v>7473980</v>
      </c>
      <c r="AB57" s="101">
        <v>7473980</v>
      </c>
      <c r="AD57" s="101">
        <v>7473980</v>
      </c>
      <c r="AE57" s="101">
        <v>7473980</v>
      </c>
      <c r="AF57" s="101"/>
      <c r="AG57" s="101"/>
    </row>
    <row r="58" spans="1:33" s="114" customFormat="1" ht="15" customHeight="1" x14ac:dyDescent="0.25">
      <c r="A58" s="131" t="str">
        <f>IF(Menu!$D$7="Português/Portuguese",B58,C58)</f>
        <v>Reserva de Capital</v>
      </c>
      <c r="B58" s="131" t="s">
        <v>86</v>
      </c>
      <c r="C58" s="131" t="s">
        <v>237</v>
      </c>
      <c r="D58" s="85"/>
      <c r="E58" s="101">
        <v>119478</v>
      </c>
      <c r="F58" s="101">
        <v>127042</v>
      </c>
      <c r="G58" s="101">
        <v>127042</v>
      </c>
      <c r="H58" s="101">
        <v>127042</v>
      </c>
      <c r="J58" s="101">
        <v>127042</v>
      </c>
      <c r="K58" s="101">
        <v>127042</v>
      </c>
      <c r="L58" s="101">
        <v>127042</v>
      </c>
      <c r="M58" s="101">
        <v>127042</v>
      </c>
      <c r="O58" s="101">
        <v>127042</v>
      </c>
      <c r="P58" s="101">
        <v>127042</v>
      </c>
      <c r="Q58" s="101">
        <v>127042</v>
      </c>
      <c r="R58" s="101">
        <v>127042</v>
      </c>
      <c r="T58" s="101">
        <v>127042</v>
      </c>
      <c r="U58" s="101">
        <v>127042</v>
      </c>
      <c r="V58" s="101">
        <f>[2]Sheet1!B51</f>
        <v>127042</v>
      </c>
      <c r="W58" s="101">
        <f>[2]Sheet1!C51</f>
        <v>127042</v>
      </c>
      <c r="Y58" s="101">
        <v>127042</v>
      </c>
      <c r="Z58" s="101">
        <v>127042</v>
      </c>
      <c r="AA58" s="101">
        <v>127042</v>
      </c>
      <c r="AB58" s="101">
        <v>-2224036</v>
      </c>
      <c r="AD58" s="101">
        <v>-2224036</v>
      </c>
      <c r="AE58" s="101">
        <v>-2224036</v>
      </c>
      <c r="AF58" s="101"/>
      <c r="AG58" s="101"/>
    </row>
    <row r="59" spans="1:33" s="114" customFormat="1" ht="15" customHeight="1" x14ac:dyDescent="0.25">
      <c r="A59" s="131" t="str">
        <f>IF(Menu!$D$7="Português/Portuguese",B59,C59)</f>
        <v>Reservas de Lucros</v>
      </c>
      <c r="B59" s="131" t="s">
        <v>85</v>
      </c>
      <c r="C59" s="131" t="s">
        <v>238</v>
      </c>
      <c r="D59" s="85"/>
      <c r="E59" s="101">
        <v>2961436</v>
      </c>
      <c r="F59" s="101">
        <v>2673030</v>
      </c>
      <c r="G59" s="101">
        <v>2673030</v>
      </c>
      <c r="H59" s="101">
        <v>6722465</v>
      </c>
      <c r="J59" s="101">
        <v>6722465</v>
      </c>
      <c r="K59" s="101">
        <v>3548953</v>
      </c>
      <c r="L59" s="101">
        <v>3548953</v>
      </c>
      <c r="M59" s="101">
        <v>3966773</v>
      </c>
      <c r="O59" s="101">
        <v>3966771</v>
      </c>
      <c r="P59" s="101">
        <v>1784860</v>
      </c>
      <c r="Q59" s="101">
        <v>1784860</v>
      </c>
      <c r="R59" s="101">
        <v>3273934</v>
      </c>
      <c r="T59" s="101">
        <v>3273934</v>
      </c>
      <c r="U59" s="101">
        <v>2248894</v>
      </c>
      <c r="V59" s="101">
        <v>1424753</v>
      </c>
      <c r="W59" s="101">
        <f>[2]Sheet1!C52</f>
        <v>3240661</v>
      </c>
      <c r="Y59" s="101">
        <v>3240661</v>
      </c>
      <c r="Z59" s="101">
        <v>1940661</v>
      </c>
      <c r="AA59" s="101">
        <v>1940661</v>
      </c>
      <c r="AB59" s="101">
        <v>1494796</v>
      </c>
      <c r="AD59" s="101">
        <v>1494796</v>
      </c>
      <c r="AE59" s="101">
        <v>1366275</v>
      </c>
      <c r="AF59" s="101"/>
      <c r="AG59" s="101"/>
    </row>
    <row r="60" spans="1:33" s="114" customFormat="1" ht="15" customHeight="1" x14ac:dyDescent="0.25">
      <c r="A60" s="131" t="str">
        <f>IF(Menu!$D$7="Português/Portuguese",B60,C60)</f>
        <v>Ações em Tesouraria</v>
      </c>
      <c r="B60" s="131" t="s">
        <v>233</v>
      </c>
      <c r="C60" s="131" t="s">
        <v>239</v>
      </c>
      <c r="D60" s="85"/>
      <c r="E60" s="101">
        <v>0</v>
      </c>
      <c r="F60" s="101">
        <v>0</v>
      </c>
      <c r="G60" s="101">
        <v>-180820</v>
      </c>
      <c r="H60" s="101">
        <v>-651017</v>
      </c>
      <c r="J60" s="101">
        <v>-651017</v>
      </c>
      <c r="K60" s="101">
        <v>0</v>
      </c>
      <c r="L60" s="101">
        <v>0</v>
      </c>
      <c r="M60" s="101">
        <v>0</v>
      </c>
      <c r="O60" s="101">
        <v>0</v>
      </c>
      <c r="P60" s="101">
        <v>0</v>
      </c>
      <c r="Q60" s="101">
        <v>0</v>
      </c>
      <c r="R60" s="101">
        <v>0</v>
      </c>
      <c r="T60" s="101">
        <v>0</v>
      </c>
      <c r="U60" s="101">
        <v>0</v>
      </c>
      <c r="V60" s="101">
        <v>0</v>
      </c>
      <c r="W60" s="101">
        <v>0</v>
      </c>
      <c r="Y60" s="101">
        <v>0</v>
      </c>
      <c r="Z60" s="101">
        <v>0</v>
      </c>
      <c r="AA60" s="101">
        <v>0</v>
      </c>
      <c r="AB60" s="101">
        <v>0</v>
      </c>
      <c r="AD60" s="101">
        <v>0</v>
      </c>
      <c r="AE60" s="101">
        <v>0</v>
      </c>
      <c r="AF60" s="101"/>
      <c r="AG60" s="101"/>
    </row>
    <row r="61" spans="1:33" s="114" customFormat="1" ht="15" customHeight="1" x14ac:dyDescent="0.25">
      <c r="A61" s="131" t="str">
        <f>IF(Menu!$D$7="Português/Portuguese",B61,C61)</f>
        <v>Lucro/(Prejuizo) Acumulado</v>
      </c>
      <c r="B61" s="131" t="s">
        <v>84</v>
      </c>
      <c r="C61" s="131" t="s">
        <v>240</v>
      </c>
      <c r="D61" s="85"/>
      <c r="E61" s="101">
        <v>2362662</v>
      </c>
      <c r="F61" s="101">
        <v>4863301</v>
      </c>
      <c r="G61" s="101">
        <v>3819310</v>
      </c>
      <c r="H61" s="101">
        <v>0</v>
      </c>
      <c r="J61" s="101">
        <v>739141</v>
      </c>
      <c r="K61" s="101">
        <v>1564863</v>
      </c>
      <c r="L61" s="101">
        <v>2078919</v>
      </c>
      <c r="M61" s="101">
        <v>0</v>
      </c>
      <c r="O61" s="101">
        <v>515798</v>
      </c>
      <c r="P61" s="101">
        <v>730545</v>
      </c>
      <c r="Q61" s="101">
        <v>1930471</v>
      </c>
      <c r="R61" s="101">
        <v>0</v>
      </c>
      <c r="T61" s="101">
        <v>557938</v>
      </c>
      <c r="U61" s="101">
        <v>2065380</v>
      </c>
      <c r="V61" s="101">
        <v>11486</v>
      </c>
      <c r="W61" s="101">
        <v>0</v>
      </c>
      <c r="Y61" s="101">
        <v>-357258</v>
      </c>
      <c r="Z61" s="101">
        <v>-241402</v>
      </c>
      <c r="AA61" s="101">
        <v>455063</v>
      </c>
      <c r="AB61" s="101">
        <v>0</v>
      </c>
      <c r="AD61" s="101">
        <v>222368</v>
      </c>
      <c r="AE61" s="101">
        <v>442014</v>
      </c>
      <c r="AF61" s="101"/>
      <c r="AG61" s="101"/>
    </row>
    <row r="62" spans="1:33" s="114" customFormat="1" ht="15" customHeight="1" x14ac:dyDescent="0.25">
      <c r="A62" s="131" t="str">
        <f>IF(Menu!$D$7="Português/Portuguese",B62,C62)</f>
        <v>Ajustes de Avaliação Patrimonial</v>
      </c>
      <c r="B62" s="131" t="s">
        <v>234</v>
      </c>
      <c r="C62" s="131" t="s">
        <v>241</v>
      </c>
      <c r="D62" s="85"/>
      <c r="E62" s="101">
        <v>322635</v>
      </c>
      <c r="F62" s="101">
        <v>322635</v>
      </c>
      <c r="G62" s="101">
        <v>322635</v>
      </c>
      <c r="H62" s="101">
        <v>322635</v>
      </c>
      <c r="J62" s="101">
        <v>322635</v>
      </c>
      <c r="K62" s="101">
        <v>322635</v>
      </c>
      <c r="L62" s="101">
        <v>322635</v>
      </c>
      <c r="M62" s="101">
        <v>322635</v>
      </c>
      <c r="O62" s="101">
        <v>322635</v>
      </c>
      <c r="P62" s="101">
        <v>322635</v>
      </c>
      <c r="Q62" s="101">
        <v>322635</v>
      </c>
      <c r="R62" s="101">
        <v>322635</v>
      </c>
      <c r="T62" s="101">
        <v>322635</v>
      </c>
      <c r="U62" s="101">
        <v>322635</v>
      </c>
      <c r="V62" s="101">
        <v>322635</v>
      </c>
      <c r="W62" s="101">
        <v>322635</v>
      </c>
      <c r="Y62" s="101">
        <v>322635</v>
      </c>
      <c r="Z62" s="101">
        <v>322635</v>
      </c>
      <c r="AA62" s="101">
        <v>322635</v>
      </c>
      <c r="AB62" s="101">
        <v>322636</v>
      </c>
      <c r="AD62" s="101">
        <v>322635</v>
      </c>
      <c r="AE62" s="101">
        <v>322635</v>
      </c>
      <c r="AF62" s="101"/>
      <c r="AG62" s="101"/>
    </row>
    <row r="63" spans="1:33" s="114" customFormat="1" ht="15" customHeight="1" x14ac:dyDescent="0.25">
      <c r="A63" s="131" t="str">
        <f>IF(Menu!$D$7="Português/Portuguese",B63,C63)</f>
        <v>Outros Resultados Abrangentes</v>
      </c>
      <c r="B63" s="131" t="s">
        <v>83</v>
      </c>
      <c r="C63" s="131" t="s">
        <v>242</v>
      </c>
      <c r="D63" s="85"/>
      <c r="E63" s="101">
        <v>4384</v>
      </c>
      <c r="F63" s="101">
        <v>30977</v>
      </c>
      <c r="G63" s="101">
        <v>4415</v>
      </c>
      <c r="H63" s="101">
        <v>3182</v>
      </c>
      <c r="J63" s="101">
        <v>5666</v>
      </c>
      <c r="K63" s="101">
        <v>-292015</v>
      </c>
      <c r="L63" s="101">
        <v>-383388</v>
      </c>
      <c r="M63" s="101">
        <v>-497003</v>
      </c>
      <c r="O63" s="101">
        <v>-316383</v>
      </c>
      <c r="P63" s="101">
        <v>25583</v>
      </c>
      <c r="Q63" s="101">
        <v>-194764</v>
      </c>
      <c r="R63" s="101">
        <v>-498894</v>
      </c>
      <c r="T63" s="101">
        <v>328877</v>
      </c>
      <c r="U63" s="101">
        <v>-491417</v>
      </c>
      <c r="V63" s="101">
        <v>-414566</v>
      </c>
      <c r="W63" s="101">
        <v>-895204</v>
      </c>
      <c r="Y63" s="101">
        <v>-573284</v>
      </c>
      <c r="Z63" s="101">
        <v>-385633</v>
      </c>
      <c r="AA63" s="101">
        <v>-221945</v>
      </c>
      <c r="AB63" s="101">
        <v>-387250</v>
      </c>
      <c r="AD63" s="101">
        <v>-209439</v>
      </c>
      <c r="AE63" s="101">
        <v>-41457</v>
      </c>
      <c r="AF63" s="101"/>
      <c r="AG63" s="101"/>
    </row>
    <row r="64" spans="1:33" s="76" customFormat="1" ht="15" customHeight="1" x14ac:dyDescent="0.25">
      <c r="A64" s="131" t="str">
        <f>IF(Menu!$D$7="Português/Portuguese",B64,C64)</f>
        <v>Participação de não controladores</v>
      </c>
      <c r="B64" s="131" t="s">
        <v>235</v>
      </c>
      <c r="C64" s="131" t="s">
        <v>243</v>
      </c>
      <c r="D64" s="85"/>
      <c r="E64" s="101">
        <v>0</v>
      </c>
      <c r="F64" s="101">
        <v>0</v>
      </c>
      <c r="G64" s="101">
        <v>0</v>
      </c>
      <c r="H64" s="101">
        <v>0</v>
      </c>
      <c r="I64" s="114"/>
      <c r="J64" s="101">
        <v>0</v>
      </c>
      <c r="K64" s="101">
        <v>0</v>
      </c>
      <c r="L64" s="101">
        <v>0</v>
      </c>
      <c r="M64" s="101">
        <v>0</v>
      </c>
      <c r="N64" s="114"/>
      <c r="O64" s="101">
        <v>0</v>
      </c>
      <c r="P64" s="101">
        <v>0</v>
      </c>
      <c r="Q64" s="101">
        <v>0</v>
      </c>
      <c r="R64" s="101">
        <v>0</v>
      </c>
      <c r="S64" s="114"/>
      <c r="T64" s="101">
        <v>0</v>
      </c>
      <c r="U64" s="101">
        <v>0</v>
      </c>
      <c r="V64" s="101">
        <v>0</v>
      </c>
      <c r="W64" s="101">
        <v>0</v>
      </c>
      <c r="X64" s="114"/>
      <c r="Y64" s="101">
        <v>1142</v>
      </c>
      <c r="Z64" s="101">
        <v>1050</v>
      </c>
      <c r="AA64" s="101">
        <v>852</v>
      </c>
      <c r="AB64" s="101">
        <v>682</v>
      </c>
      <c r="AC64" s="114"/>
      <c r="AD64" s="101">
        <v>441</v>
      </c>
      <c r="AE64" s="101">
        <v>190</v>
      </c>
      <c r="AF64" s="101"/>
      <c r="AG64" s="101"/>
    </row>
    <row r="65" spans="1:33" s="141" customFormat="1" ht="19.5" customHeight="1" x14ac:dyDescent="0.25">
      <c r="A65" s="139" t="str">
        <f>IF(Menu!$D$7="Português/Portuguese",B65,C65)</f>
        <v>Total do Passivo e Patrimônio Líquido</v>
      </c>
      <c r="B65" s="139" t="s">
        <v>82</v>
      </c>
      <c r="C65" s="139" t="s">
        <v>270</v>
      </c>
      <c r="D65" s="136"/>
      <c r="E65" s="140">
        <f>SUM(E56,E45,E32)</f>
        <v>21804616</v>
      </c>
      <c r="F65" s="140">
        <f>SUM(F56,F45,F32)</f>
        <v>27325969</v>
      </c>
      <c r="G65" s="140">
        <f t="shared" ref="G65:AE65" si="60">SUM(G56,G45,G32)</f>
        <v>28360581</v>
      </c>
      <c r="H65" s="140">
        <f t="shared" si="60"/>
        <v>26991134</v>
      </c>
      <c r="J65" s="140">
        <f t="shared" si="60"/>
        <v>24048078</v>
      </c>
      <c r="K65" s="140">
        <f>SUM(K56,K45,K32)</f>
        <v>24140611</v>
      </c>
      <c r="L65" s="140">
        <f t="shared" si="60"/>
        <v>26507955</v>
      </c>
      <c r="M65" s="140">
        <f t="shared" si="60"/>
        <v>25053596</v>
      </c>
      <c r="O65" s="140">
        <f t="shared" si="60"/>
        <v>28099792</v>
      </c>
      <c r="P65" s="140">
        <f t="shared" si="60"/>
        <v>26309254</v>
      </c>
      <c r="Q65" s="140">
        <f t="shared" si="60"/>
        <v>29625114</v>
      </c>
      <c r="R65" s="140">
        <f t="shared" si="60"/>
        <v>29690605</v>
      </c>
      <c r="T65" s="140">
        <f t="shared" si="60"/>
        <v>29725965</v>
      </c>
      <c r="U65" s="140">
        <f t="shared" si="60"/>
        <v>30855506</v>
      </c>
      <c r="V65" s="140">
        <f t="shared" si="60"/>
        <v>34460049</v>
      </c>
      <c r="W65" s="140">
        <f t="shared" si="60"/>
        <v>36390919</v>
      </c>
      <c r="Y65" s="140">
        <f>SUM(Y56,Y45,Y32)+1</f>
        <v>35321018</v>
      </c>
      <c r="Z65" s="140">
        <f t="shared" si="60"/>
        <v>35991112</v>
      </c>
      <c r="AA65" s="140">
        <f t="shared" si="60"/>
        <v>36313111</v>
      </c>
      <c r="AB65" s="140">
        <f t="shared" si="60"/>
        <v>33553574</v>
      </c>
      <c r="AD65" s="140">
        <f t="shared" si="60"/>
        <v>34188480</v>
      </c>
      <c r="AE65" s="140">
        <f t="shared" si="60"/>
        <v>33847438</v>
      </c>
      <c r="AF65" s="140"/>
      <c r="AG65" s="140"/>
    </row>
    <row r="67" spans="1:33" ht="15" customHeight="1" collapsed="1" x14ac:dyDescent="0.25"/>
    <row r="76" spans="1:33" ht="15" customHeight="1" collapsed="1" x14ac:dyDescent="0.25"/>
    <row r="82" ht="15" customHeight="1" collapsed="1" x14ac:dyDescent="0.25"/>
  </sheetData>
  <dataConsolidate/>
  <phoneticPr fontId="35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&amp;L_x000D_&amp;1#&amp;"Calibri"&amp;10&amp;K000000 Público</oddFooter>
  </headerFooter>
  <ignoredErrors>
    <ignoredError sqref="E32 E6 G32:H32 F6:H6 J6:K6 J32:L32 L6:M6 O6:R6 P32 T6:U6 T32:U32 V6:W6 V32:W32 V45 Y6:Z6 AA6:AB6 Y32:AB32 AD45:AD50 AD6:AE6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AF1ED-BCC2-41CB-A71A-B90078713EAB}">
  <sheetPr>
    <tabColor theme="6" tint="0.39997558519241921"/>
  </sheetPr>
  <dimension ref="A1:AS72"/>
  <sheetViews>
    <sheetView showGridLines="0" zoomScale="75" zoomScaleNormal="75" workbookViewId="0">
      <pane xSplit="3" ySplit="5" topLeftCell="P16" activePane="bottomRight" state="frozen"/>
      <selection pane="topRight"/>
      <selection pane="bottomLeft"/>
      <selection pane="bottomRight" activeCell="AR6" sqref="AR6"/>
    </sheetView>
  </sheetViews>
  <sheetFormatPr defaultColWidth="15.7109375" defaultRowHeight="15" outlineLevelCol="1" x14ac:dyDescent="0.25"/>
  <cols>
    <col min="1" max="1" width="79.28515625" style="85" customWidth="1"/>
    <col min="2" max="3" width="79.28515625" style="85" hidden="1" customWidth="1"/>
    <col min="4" max="4" width="2.5703125" style="85" customWidth="1"/>
    <col min="5" max="8" width="15.7109375" style="76" hidden="1" customWidth="1" outlineLevel="1"/>
    <col min="9" max="9" width="15.7109375" style="76" customWidth="1" collapsed="1"/>
    <col min="10" max="10" width="2.5703125" style="85" customWidth="1"/>
    <col min="11" max="14" width="15.7109375" style="76" hidden="1" customWidth="1" outlineLevel="1"/>
    <col min="15" max="15" width="15.7109375" style="76" customWidth="1" collapsed="1"/>
    <col min="16" max="16" width="2.5703125" style="85" customWidth="1"/>
    <col min="17" max="20" width="15.7109375" style="76" hidden="1" customWidth="1" outlineLevel="1"/>
    <col min="21" max="21" width="15.7109375" style="76" customWidth="1" collapsed="1"/>
    <col min="22" max="22" width="2.5703125" style="85" customWidth="1"/>
    <col min="23" max="26" width="15.7109375" style="76" hidden="1" customWidth="1" outlineLevel="1"/>
    <col min="27" max="27" width="15.7109375" style="76" customWidth="1" collapsed="1"/>
    <col min="28" max="28" width="2.5703125" style="85" customWidth="1"/>
    <col min="29" max="32" width="15.7109375" style="76" hidden="1" customWidth="1" outlineLevel="1"/>
    <col min="33" max="33" width="15.7109375" style="76" customWidth="1" collapsed="1"/>
    <col min="34" max="34" width="2.5703125" style="85" customWidth="1"/>
    <col min="35" max="38" width="15.7109375" style="76" hidden="1" customWidth="1" outlineLevel="1"/>
    <col min="39" max="39" width="15.7109375" style="76" customWidth="1" collapsed="1"/>
    <col min="40" max="40" width="2.5703125" style="85" customWidth="1"/>
    <col min="41" max="45" width="15.7109375" style="76" outlineLevel="1"/>
    <col min="46" max="16384" width="15.7109375" style="85"/>
  </cols>
  <sheetData>
    <row r="1" spans="1:45" ht="18" customHeight="1" x14ac:dyDescent="0.3">
      <c r="A1" s="104"/>
      <c r="B1" s="104"/>
      <c r="C1" s="104"/>
      <c r="D1" s="77"/>
      <c r="J1" s="77"/>
      <c r="P1" s="77"/>
      <c r="V1" s="77"/>
      <c r="AB1" s="77"/>
      <c r="AH1" s="77"/>
      <c r="AN1" s="77"/>
    </row>
    <row r="2" spans="1:45" s="107" customFormat="1" ht="18" customHeight="1" x14ac:dyDescent="0.3">
      <c r="A2" s="105"/>
      <c r="B2" s="105"/>
      <c r="C2" s="105"/>
      <c r="D2" s="106"/>
      <c r="E2" s="81" t="s">
        <v>69</v>
      </c>
      <c r="F2" s="81" t="s">
        <v>68</v>
      </c>
      <c r="G2" s="81" t="s">
        <v>67</v>
      </c>
      <c r="H2" s="81" t="s">
        <v>66</v>
      </c>
      <c r="I2" s="81">
        <v>2020</v>
      </c>
      <c r="J2" s="106"/>
      <c r="K2" s="81" t="s">
        <v>65</v>
      </c>
      <c r="L2" s="81" t="s">
        <v>64</v>
      </c>
      <c r="M2" s="81" t="s">
        <v>63</v>
      </c>
      <c r="N2" s="81" t="s">
        <v>62</v>
      </c>
      <c r="O2" s="81">
        <v>2021</v>
      </c>
      <c r="P2" s="106"/>
      <c r="Q2" s="81" t="s">
        <v>61</v>
      </c>
      <c r="R2" s="81" t="s">
        <v>60</v>
      </c>
      <c r="S2" s="81" t="s">
        <v>59</v>
      </c>
      <c r="T2" s="81" t="s">
        <v>58</v>
      </c>
      <c r="U2" s="81">
        <v>2022</v>
      </c>
      <c r="V2" s="106"/>
      <c r="W2" s="81" t="s">
        <v>57</v>
      </c>
      <c r="X2" s="81" t="s">
        <v>56</v>
      </c>
      <c r="Y2" s="81" t="s">
        <v>55</v>
      </c>
      <c r="Z2" s="81" t="s">
        <v>54</v>
      </c>
      <c r="AA2" s="81">
        <v>2023</v>
      </c>
      <c r="AB2" s="106"/>
      <c r="AC2" s="81" t="s">
        <v>53</v>
      </c>
      <c r="AD2" s="81" t="s">
        <v>52</v>
      </c>
      <c r="AE2" s="81" t="s">
        <v>51</v>
      </c>
      <c r="AF2" s="81" t="s">
        <v>50</v>
      </c>
      <c r="AG2" s="81">
        <v>2024</v>
      </c>
      <c r="AH2" s="106"/>
      <c r="AI2" s="81" t="s">
        <v>49</v>
      </c>
      <c r="AJ2" s="81" t="s">
        <v>48</v>
      </c>
      <c r="AK2" s="81" t="s">
        <v>47</v>
      </c>
      <c r="AL2" s="81" t="s">
        <v>46</v>
      </c>
      <c r="AM2" s="81">
        <v>2025</v>
      </c>
      <c r="AN2" s="106"/>
      <c r="AO2" s="81" t="s">
        <v>442</v>
      </c>
      <c r="AP2" s="81" t="s">
        <v>443</v>
      </c>
      <c r="AQ2" s="81" t="s">
        <v>444</v>
      </c>
      <c r="AR2" s="81" t="s">
        <v>445</v>
      </c>
      <c r="AS2" s="81">
        <v>2026</v>
      </c>
    </row>
    <row r="3" spans="1:45" s="107" customFormat="1" ht="18" customHeight="1" x14ac:dyDescent="0.3">
      <c r="A3" s="105"/>
      <c r="B3" s="105"/>
      <c r="C3" s="105"/>
      <c r="D3" s="108"/>
      <c r="E3" s="81" t="s">
        <v>45</v>
      </c>
      <c r="F3" s="81" t="s">
        <v>44</v>
      </c>
      <c r="G3" s="81" t="s">
        <v>43</v>
      </c>
      <c r="H3" s="81" t="s">
        <v>42</v>
      </c>
      <c r="I3" s="81">
        <v>2020</v>
      </c>
      <c r="J3" s="108"/>
      <c r="K3" s="81" t="s">
        <v>41</v>
      </c>
      <c r="L3" s="81" t="s">
        <v>40</v>
      </c>
      <c r="M3" s="81" t="s">
        <v>39</v>
      </c>
      <c r="N3" s="81" t="s">
        <v>38</v>
      </c>
      <c r="O3" s="81">
        <v>2021</v>
      </c>
      <c r="P3" s="108"/>
      <c r="Q3" s="81" t="s">
        <v>37</v>
      </c>
      <c r="R3" s="81" t="s">
        <v>36</v>
      </c>
      <c r="S3" s="81" t="s">
        <v>35</v>
      </c>
      <c r="T3" s="81" t="s">
        <v>34</v>
      </c>
      <c r="U3" s="81">
        <v>2022</v>
      </c>
      <c r="V3" s="108"/>
      <c r="W3" s="81" t="s">
        <v>33</v>
      </c>
      <c r="X3" s="81" t="s">
        <v>32</v>
      </c>
      <c r="Y3" s="81" t="s">
        <v>31</v>
      </c>
      <c r="Z3" s="81" t="s">
        <v>30</v>
      </c>
      <c r="AA3" s="81">
        <v>2023</v>
      </c>
      <c r="AB3" s="108"/>
      <c r="AC3" s="81" t="s">
        <v>29</v>
      </c>
      <c r="AD3" s="81" t="s">
        <v>28</v>
      </c>
      <c r="AE3" s="81" t="s">
        <v>27</v>
      </c>
      <c r="AF3" s="81" t="s">
        <v>26</v>
      </c>
      <c r="AG3" s="81">
        <v>2024</v>
      </c>
      <c r="AH3" s="108"/>
      <c r="AI3" s="81" t="s">
        <v>25</v>
      </c>
      <c r="AJ3" s="81" t="s">
        <v>24</v>
      </c>
      <c r="AK3" s="81" t="s">
        <v>23</v>
      </c>
      <c r="AL3" s="81" t="s">
        <v>22</v>
      </c>
      <c r="AM3" s="81">
        <v>2025</v>
      </c>
      <c r="AN3" s="108"/>
      <c r="AO3" s="84" t="s">
        <v>446</v>
      </c>
      <c r="AP3" s="84" t="s">
        <v>451</v>
      </c>
      <c r="AQ3" s="84" t="s">
        <v>22</v>
      </c>
      <c r="AR3" s="84" t="s">
        <v>452</v>
      </c>
      <c r="AS3" s="84">
        <v>2026</v>
      </c>
    </row>
    <row r="4" spans="1:45" ht="18" x14ac:dyDescent="0.25">
      <c r="A4" s="88" t="str">
        <f>IF(Menu!$D$7="Português/Portuguese",B4,C4)</f>
        <v>DEMONSTRAÇÃO DE RESULTADO CONSOLIDADO</v>
      </c>
      <c r="B4" s="88" t="s">
        <v>301</v>
      </c>
      <c r="C4" s="88" t="s">
        <v>304</v>
      </c>
      <c r="E4" s="88"/>
      <c r="F4" s="88"/>
      <c r="G4" s="88"/>
      <c r="H4" s="88"/>
      <c r="I4" s="88"/>
      <c r="K4" s="88"/>
      <c r="L4" s="88"/>
      <c r="M4" s="88"/>
      <c r="N4" s="88"/>
      <c r="O4" s="88"/>
      <c r="Q4" s="88"/>
      <c r="R4" s="88"/>
      <c r="S4" s="88"/>
      <c r="T4" s="88"/>
      <c r="U4" s="88"/>
      <c r="W4" s="88"/>
      <c r="X4" s="88"/>
      <c r="Y4" s="88"/>
      <c r="Z4" s="88"/>
      <c r="AA4" s="88"/>
      <c r="AC4" s="88"/>
      <c r="AD4" s="88"/>
      <c r="AE4" s="88"/>
      <c r="AF4" s="88"/>
      <c r="AG4" s="88"/>
      <c r="AI4" s="88"/>
      <c r="AJ4" s="88"/>
      <c r="AK4" s="88"/>
      <c r="AL4" s="88"/>
      <c r="AM4" s="88"/>
      <c r="AO4" s="88"/>
      <c r="AP4" s="88"/>
      <c r="AQ4" s="88"/>
      <c r="AR4" s="88"/>
      <c r="AS4" s="88"/>
    </row>
    <row r="5" spans="1:45" s="39" customFormat="1" ht="20.100000000000001" customHeight="1" thickBot="1" x14ac:dyDescent="0.3">
      <c r="A5" s="22" t="str">
        <f>IF(Menu!$D$7="Português/Portuguese",B5,C5)</f>
        <v>Valores em R$ ('000)</v>
      </c>
      <c r="B5" s="22" t="s">
        <v>139</v>
      </c>
      <c r="C5" s="22" t="s">
        <v>138</v>
      </c>
      <c r="D5"/>
      <c r="E5" s="20" t="str">
        <f>IF(Menu!$D$7="Português/Portuguese",E2,E3)</f>
        <v>1T20</v>
      </c>
      <c r="F5" s="20" t="str">
        <f>IF(Menu!$D$7="Português/Portuguese",F2,F3)</f>
        <v>2T20</v>
      </c>
      <c r="G5" s="20" t="str">
        <f>IF(Menu!$D$7="Português/Portuguese",G2,G3)</f>
        <v>3T20</v>
      </c>
      <c r="H5" s="20" t="str">
        <f>IF(Menu!$D$7="Português/Portuguese",H2,H3)</f>
        <v>4T20</v>
      </c>
      <c r="I5" s="19">
        <f>IF(Menu!$D$7="Português/Portuguese",I2,I3)</f>
        <v>2020</v>
      </c>
      <c r="J5" s="32"/>
      <c r="K5" s="20" t="str">
        <f>IF(Menu!$D$7="Português/Portuguese",K2,K3)</f>
        <v>1T21</v>
      </c>
      <c r="L5" s="20" t="str">
        <f>IF(Menu!$D$7="Português/Portuguese",L2,L3)</f>
        <v>2T21</v>
      </c>
      <c r="M5" s="20" t="str">
        <f>IF(Menu!$D$7="Português/Portuguese",M2,M3)</f>
        <v>3T21</v>
      </c>
      <c r="N5" s="20" t="str">
        <f>IF(Menu!$D$7="Português/Portuguese",N2,N3)</f>
        <v>4T21</v>
      </c>
      <c r="O5" s="19">
        <f>IF(Menu!$D$7="Português/Portuguese",O2,O3)</f>
        <v>2021</v>
      </c>
      <c r="P5" s="32"/>
      <c r="Q5" s="20" t="str">
        <f>IF(Menu!$D$7="Português/Portuguese",Q2,Q3)</f>
        <v>1T22</v>
      </c>
      <c r="R5" s="20" t="str">
        <f>IF(Menu!$D$7="Português/Portuguese",R2,R3)</f>
        <v>2T22</v>
      </c>
      <c r="S5" s="20" t="str">
        <f>IF(Menu!$D$7="Português/Portuguese",S2,S3)</f>
        <v>3T22</v>
      </c>
      <c r="T5" s="20" t="str">
        <f>IF(Menu!$D$7="Português/Portuguese",T2,T3)</f>
        <v>4T22</v>
      </c>
      <c r="U5" s="19">
        <f>IF(Menu!$D$7="Português/Portuguese",U2,U3)</f>
        <v>2022</v>
      </c>
      <c r="V5" s="32"/>
      <c r="W5" s="20" t="str">
        <f>IF(Menu!$D$7="Português/Portuguese",W2,W3)</f>
        <v>1T23</v>
      </c>
      <c r="X5" s="20" t="str">
        <f>IF(Menu!$D$7="Português/Portuguese",X2,X3)</f>
        <v>2T23</v>
      </c>
      <c r="Y5" s="20" t="str">
        <f>IF(Menu!$D$7="Português/Portuguese",Y2,Y3)</f>
        <v>3T23</v>
      </c>
      <c r="Z5" s="20" t="str">
        <f>IF(Menu!$D$7="Português/Portuguese",Z2,Z3)</f>
        <v>4T23</v>
      </c>
      <c r="AA5" s="19">
        <f>IF(Menu!$D$7="Português/Portuguese",AA2,AA3)</f>
        <v>2023</v>
      </c>
      <c r="AB5"/>
      <c r="AC5" s="20" t="str">
        <f>IF(Menu!$D$7="Português/Portuguese",AC2,AC3)</f>
        <v>1T24</v>
      </c>
      <c r="AD5" s="20" t="str">
        <f>IF(Menu!$D$7="Português/Portuguese",AD2,AD3)</f>
        <v>2T24</v>
      </c>
      <c r="AE5" s="20" t="str">
        <f>IF(Menu!$D$7="Português/Portuguese",AE2,AE3)</f>
        <v>3T24</v>
      </c>
      <c r="AF5" s="20" t="str">
        <f>IF(Menu!$D$7="Português/Portuguese",AF2,AF3)</f>
        <v>4T24</v>
      </c>
      <c r="AG5" s="19">
        <f>IF(Menu!$D$7="Português/Portuguese",AG2,AG3)</f>
        <v>2024</v>
      </c>
      <c r="AH5"/>
      <c r="AI5" s="20" t="str">
        <f>IF(Menu!$D$7="Português/Portuguese",AI2,AI3)</f>
        <v>1T25</v>
      </c>
      <c r="AJ5" s="20" t="str">
        <f>IF(Menu!$D$7="Português/Portuguese",AJ2,AJ3)</f>
        <v>2T25</v>
      </c>
      <c r="AK5" s="20" t="str">
        <f>IF(Menu!$D$7="Português/Portuguese",AK2,AK3)</f>
        <v>3T25</v>
      </c>
      <c r="AL5" s="20" t="str">
        <f>IF(Menu!$D$7="Português/Portuguese",AL2,AL3)</f>
        <v>4T25</v>
      </c>
      <c r="AM5" s="19">
        <f>IF(Menu!$D$7="Português/Portuguese",AM2,AM3)</f>
        <v>2025</v>
      </c>
      <c r="AN5"/>
      <c r="AO5" s="20" t="str">
        <f>IF(Menu!$D$7="Português/Portuguese",AO2,AO3)</f>
        <v>1T26</v>
      </c>
      <c r="AP5" s="20" t="s">
        <v>443</v>
      </c>
      <c r="AQ5" s="20" t="str">
        <f>IF(Menu!$D$7="Português/Portuguese",AQ2,AQ3)</f>
        <v>3T26</v>
      </c>
      <c r="AR5" s="20" t="str">
        <f>IF(Menu!$D$7="Português/Portuguese",AR2,AR3)</f>
        <v>4T26</v>
      </c>
      <c r="AS5" s="19">
        <f>IF(Menu!$D$7="Português/Portuguese",AS2,AS3)</f>
        <v>2026</v>
      </c>
    </row>
    <row r="6" spans="1:45" ht="15.75" x14ac:dyDescent="0.25">
      <c r="A6" s="110" t="str">
        <f>IF(Menu!$D$7="Português/Portuguese",B6,C6)</f>
        <v xml:space="preserve">Receita Líquida de Vendas </v>
      </c>
      <c r="B6" s="110" t="s">
        <v>186</v>
      </c>
      <c r="C6" s="110" t="s">
        <v>77</v>
      </c>
      <c r="E6" s="101">
        <v>1821464</v>
      </c>
      <c r="F6" s="101">
        <v>2877230</v>
      </c>
      <c r="G6" s="101">
        <v>4238829</v>
      </c>
      <c r="H6" s="101">
        <v>4852008</v>
      </c>
      <c r="I6" s="101">
        <v>13789531</v>
      </c>
      <c r="K6" s="101">
        <v>5638570</v>
      </c>
      <c r="L6" s="101">
        <v>7693326</v>
      </c>
      <c r="M6" s="101">
        <v>3057587</v>
      </c>
      <c r="N6" s="101">
        <v>2650386</v>
      </c>
      <c r="O6" s="101">
        <v>19039869</v>
      </c>
      <c r="Q6" s="101">
        <v>3891712</v>
      </c>
      <c r="R6" s="101">
        <v>2679299</v>
      </c>
      <c r="S6" s="101">
        <v>2723538</v>
      </c>
      <c r="T6" s="101">
        <v>3978016</v>
      </c>
      <c r="U6" s="101">
        <v>13272565</v>
      </c>
      <c r="W6" s="101">
        <v>4514331</v>
      </c>
      <c r="X6" s="101">
        <v>4014012</v>
      </c>
      <c r="Y6" s="101">
        <v>4839552</v>
      </c>
      <c r="Z6" s="101">
        <v>5512531</v>
      </c>
      <c r="AA6" s="101">
        <v>18880426</v>
      </c>
      <c r="AC6" s="101">
        <v>3510759</v>
      </c>
      <c r="AD6" s="101">
        <v>4189057</v>
      </c>
      <c r="AE6" s="101">
        <v>3966836</v>
      </c>
      <c r="AF6" s="101">
        <v>4829665</v>
      </c>
      <c r="AG6" s="101">
        <f t="shared" ref="AG6:AG11" si="0">SUM(AC6:AF6)</f>
        <v>16496317</v>
      </c>
      <c r="AI6" s="101">
        <v>3911382</v>
      </c>
      <c r="AJ6" s="101">
        <v>4038202</v>
      </c>
      <c r="AK6" s="101">
        <v>5146073</v>
      </c>
      <c r="AL6" s="101">
        <v>4929465</v>
      </c>
      <c r="AM6" s="101">
        <v>18025121</v>
      </c>
      <c r="AO6" s="101">
        <v>3704133</v>
      </c>
      <c r="AP6" s="101">
        <v>3613204</v>
      </c>
      <c r="AQ6" s="101"/>
      <c r="AR6" s="101"/>
      <c r="AS6" s="101">
        <f t="shared" ref="AS6:AS8" si="1">SUM(AO6:AR6)</f>
        <v>7317337</v>
      </c>
    </row>
    <row r="7" spans="1:45" ht="17.25" x14ac:dyDescent="0.3">
      <c r="A7" s="111" t="str">
        <f>IF(Menu!$D$7="Português/Portuguese",B7,C7)</f>
        <v>Mercado Interno</v>
      </c>
      <c r="B7" s="111" t="s">
        <v>79</v>
      </c>
      <c r="C7" s="111" t="s">
        <v>185</v>
      </c>
      <c r="E7" s="91">
        <v>255516</v>
      </c>
      <c r="F7" s="91">
        <v>332903</v>
      </c>
      <c r="G7" s="91">
        <v>420543</v>
      </c>
      <c r="H7" s="91">
        <v>487638</v>
      </c>
      <c r="I7" s="91">
        <v>1496600</v>
      </c>
      <c r="K7" s="91">
        <v>784301</v>
      </c>
      <c r="L7" s="91">
        <v>891296</v>
      </c>
      <c r="M7" s="91">
        <v>949735</v>
      </c>
      <c r="N7" s="91">
        <v>427461</v>
      </c>
      <c r="O7" s="91">
        <v>3052793</v>
      </c>
      <c r="Q7" s="91">
        <v>492387</v>
      </c>
      <c r="R7" s="91">
        <v>390254</v>
      </c>
      <c r="S7" s="91">
        <v>419084</v>
      </c>
      <c r="T7" s="91">
        <v>319206</v>
      </c>
      <c r="U7" s="91">
        <v>1620931</v>
      </c>
      <c r="W7" s="91">
        <v>260136</v>
      </c>
      <c r="X7" s="91">
        <v>351358</v>
      </c>
      <c r="Y7" s="91">
        <v>541405</v>
      </c>
      <c r="Z7" s="91">
        <v>573822</v>
      </c>
      <c r="AA7" s="91">
        <v>1726721</v>
      </c>
      <c r="AC7" s="91">
        <v>409308</v>
      </c>
      <c r="AD7" s="91">
        <v>290506</v>
      </c>
      <c r="AE7" s="91">
        <v>391312</v>
      </c>
      <c r="AF7" s="91">
        <v>335313</v>
      </c>
      <c r="AG7" s="91">
        <f t="shared" si="0"/>
        <v>1426439</v>
      </c>
      <c r="AI7" s="91">
        <v>412414</v>
      </c>
      <c r="AJ7" s="91">
        <v>401745</v>
      </c>
      <c r="AK7" s="91">
        <v>364749</v>
      </c>
      <c r="AL7" s="91">
        <v>375238</v>
      </c>
      <c r="AM7" s="91">
        <v>1554145</v>
      </c>
      <c r="AO7" s="91">
        <v>296610</v>
      </c>
      <c r="AP7" s="91">
        <v>354336</v>
      </c>
      <c r="AQ7" s="91"/>
      <c r="AR7" s="91"/>
      <c r="AS7" s="91">
        <f t="shared" si="1"/>
        <v>650946</v>
      </c>
    </row>
    <row r="8" spans="1:45" ht="17.25" x14ac:dyDescent="0.3">
      <c r="A8" s="111" t="str">
        <f>IF(Menu!$D$7="Português/Portuguese",B8,C8)</f>
        <v>Mercado Externo</v>
      </c>
      <c r="B8" s="111" t="s">
        <v>78</v>
      </c>
      <c r="C8" s="111" t="s">
        <v>184</v>
      </c>
      <c r="E8" s="91">
        <v>1565948</v>
      </c>
      <c r="F8" s="91">
        <v>2544327</v>
      </c>
      <c r="G8" s="91">
        <v>3818286</v>
      </c>
      <c r="H8" s="91">
        <v>4364370</v>
      </c>
      <c r="I8" s="91">
        <v>12292931</v>
      </c>
      <c r="K8" s="91">
        <v>4854269</v>
      </c>
      <c r="L8" s="91">
        <v>6802030</v>
      </c>
      <c r="M8" s="91">
        <v>2107852</v>
      </c>
      <c r="N8" s="91">
        <v>2222925</v>
      </c>
      <c r="O8" s="91">
        <v>15987076</v>
      </c>
      <c r="Q8" s="91">
        <v>3399325</v>
      </c>
      <c r="R8" s="91">
        <v>2289045</v>
      </c>
      <c r="S8" s="91">
        <v>2304454</v>
      </c>
      <c r="T8" s="91">
        <v>3658810</v>
      </c>
      <c r="U8" s="91">
        <v>11651634</v>
      </c>
      <c r="W8" s="91">
        <v>4254195</v>
      </c>
      <c r="X8" s="91">
        <v>3662654</v>
      </c>
      <c r="Y8" s="91">
        <v>4298147</v>
      </c>
      <c r="Z8" s="91">
        <v>4938709</v>
      </c>
      <c r="AA8" s="91">
        <v>17153705</v>
      </c>
      <c r="AC8" s="91">
        <v>3101451</v>
      </c>
      <c r="AD8" s="91">
        <v>3898551</v>
      </c>
      <c r="AE8" s="91">
        <v>3575524</v>
      </c>
      <c r="AF8" s="91">
        <v>4494352</v>
      </c>
      <c r="AG8" s="91">
        <f t="shared" si="0"/>
        <v>15069878</v>
      </c>
      <c r="AI8" s="91">
        <v>3498968</v>
      </c>
      <c r="AJ8" s="91">
        <v>3636457</v>
      </c>
      <c r="AK8" s="91">
        <v>4781324</v>
      </c>
      <c r="AL8" s="91">
        <v>4554227</v>
      </c>
      <c r="AM8" s="91">
        <v>16470976</v>
      </c>
      <c r="AO8" s="91">
        <v>3407523</v>
      </c>
      <c r="AP8" s="91">
        <v>3258868</v>
      </c>
      <c r="AQ8" s="91"/>
      <c r="AR8" s="91"/>
      <c r="AS8" s="91">
        <f t="shared" si="1"/>
        <v>6666391</v>
      </c>
    </row>
    <row r="9" spans="1:45" ht="15.75" x14ac:dyDescent="0.25">
      <c r="A9" s="110" t="str">
        <f>IF(Menu!$D$7="Português/Portuguese",B9,C9)</f>
        <v>Custo dos Produtos Vendidos</v>
      </c>
      <c r="B9" s="110" t="s">
        <v>183</v>
      </c>
      <c r="C9" s="110" t="s">
        <v>182</v>
      </c>
      <c r="E9" s="101">
        <v>-807177</v>
      </c>
      <c r="F9" s="101">
        <v>-1350311</v>
      </c>
      <c r="G9" s="101">
        <v>-1304771</v>
      </c>
      <c r="H9" s="101">
        <v>-2018349</v>
      </c>
      <c r="I9" s="101">
        <v>-5480608</v>
      </c>
      <c r="K9" s="101">
        <v>-1907069</v>
      </c>
      <c r="L9" s="101">
        <v>-2427624</v>
      </c>
      <c r="M9" s="101">
        <v>-1998327</v>
      </c>
      <c r="N9" s="101">
        <v>-1675245</v>
      </c>
      <c r="O9" s="101">
        <v>-8008265</v>
      </c>
      <c r="Q9" s="101">
        <v>-1603727</v>
      </c>
      <c r="R9" s="101">
        <v>-1835234</v>
      </c>
      <c r="S9" s="101">
        <v>-1777669</v>
      </c>
      <c r="T9" s="101">
        <v>-1866636</v>
      </c>
      <c r="U9" s="101">
        <v>-7083266</v>
      </c>
      <c r="W9" s="101">
        <v>-2227464</v>
      </c>
      <c r="X9" s="101">
        <v>-2622510</v>
      </c>
      <c r="Y9" s="101">
        <v>-2523535</v>
      </c>
      <c r="Z9" s="101">
        <v>-2465549</v>
      </c>
      <c r="AA9" s="101">
        <v>-9839057</v>
      </c>
      <c r="AC9" s="101">
        <v>-1890164</v>
      </c>
      <c r="AD9" s="101">
        <v>-1946282</v>
      </c>
      <c r="AE9" s="101">
        <v>-2063350</v>
      </c>
      <c r="AF9" s="101">
        <v>-2125231</v>
      </c>
      <c r="AG9" s="101">
        <f t="shared" si="0"/>
        <v>-8025027</v>
      </c>
      <c r="AI9" s="101">
        <v>-2237701</v>
      </c>
      <c r="AJ9" s="101">
        <v>-2377876</v>
      </c>
      <c r="AK9" s="101">
        <v>-2645483</v>
      </c>
      <c r="AL9" s="101">
        <v>-2589518</v>
      </c>
      <c r="AM9" s="101">
        <v>-9850577</v>
      </c>
      <c r="AO9" s="101">
        <v>-2034884</v>
      </c>
      <c r="AP9" s="101">
        <v>-2105849.3012485993</v>
      </c>
      <c r="AQ9" s="101"/>
      <c r="AR9" s="101"/>
      <c r="AS9" s="101">
        <f>SUM(AO9:AR9)</f>
        <v>-4140733.3012485993</v>
      </c>
    </row>
    <row r="10" spans="1:45" ht="17.25" x14ac:dyDescent="0.3">
      <c r="A10" s="111" t="str">
        <f>IF(Menu!$D$7="Português/Portuguese",B10,C10)</f>
        <v>CPV, sem Depreciação e Exaustão</v>
      </c>
      <c r="B10" s="111" t="s">
        <v>181</v>
      </c>
      <c r="C10" s="111" t="s">
        <v>180</v>
      </c>
      <c r="E10" s="91">
        <v>-664920</v>
      </c>
      <c r="F10" s="91">
        <v>-1211403</v>
      </c>
      <c r="G10" s="91">
        <v>-1140380</v>
      </c>
      <c r="H10" s="91">
        <v>-1251003</v>
      </c>
      <c r="I10" s="91">
        <v>-4267706</v>
      </c>
      <c r="K10" s="91">
        <v>-1760049</v>
      </c>
      <c r="L10" s="91">
        <v>-2254686</v>
      </c>
      <c r="M10" s="91">
        <v>-1810167</v>
      </c>
      <c r="N10" s="91">
        <v>-1451228</v>
      </c>
      <c r="O10" s="91">
        <v>-7276130</v>
      </c>
      <c r="Q10" s="91">
        <v>-1367420</v>
      </c>
      <c r="R10" s="91">
        <v>-1598279</v>
      </c>
      <c r="S10" s="91">
        <v>-1530791</v>
      </c>
      <c r="T10" s="91">
        <v>-1597180</v>
      </c>
      <c r="U10" s="91">
        <v>-6093670</v>
      </c>
      <c r="W10" s="91">
        <v>-1977519</v>
      </c>
      <c r="X10" s="91">
        <v>-2375279</v>
      </c>
      <c r="Y10" s="91">
        <v>-2261279</v>
      </c>
      <c r="Z10" s="91">
        <v>-2192820</v>
      </c>
      <c r="AA10" s="91">
        <v>-8806896</v>
      </c>
      <c r="AC10" s="91">
        <v>-1608726</v>
      </c>
      <c r="AD10" s="91">
        <v>-1653593</v>
      </c>
      <c r="AE10" s="91">
        <v>-1776498</v>
      </c>
      <c r="AF10" s="91">
        <v>-1843240</v>
      </c>
      <c r="AG10" s="91">
        <f t="shared" si="0"/>
        <v>-6882057</v>
      </c>
      <c r="AI10" s="91">
        <v>-1932029</v>
      </c>
      <c r="AJ10" s="91">
        <v>-2065693</v>
      </c>
      <c r="AK10" s="91">
        <v>-2330003</v>
      </c>
      <c r="AL10" s="91">
        <v>-2272791</v>
      </c>
      <c r="AM10" s="91">
        <v>-8600517</v>
      </c>
      <c r="AO10" s="91">
        <v>-1678660.5487839002</v>
      </c>
      <c r="AP10" s="91">
        <v>-1747745.3012485993</v>
      </c>
      <c r="AQ10" s="91"/>
      <c r="AR10" s="91"/>
      <c r="AS10" s="91">
        <f t="shared" ref="AS10:AS32" si="2">SUM(AO10:AR10)</f>
        <v>-3426405.8500324995</v>
      </c>
    </row>
    <row r="11" spans="1:45" ht="17.25" x14ac:dyDescent="0.3">
      <c r="A11" s="111" t="str">
        <f>IF(Menu!$D$7="Português/Portuguese",B11,C11)</f>
        <v>Depreciação/ Exaustão alocada ao custo</v>
      </c>
      <c r="B11" s="111" t="s">
        <v>179</v>
      </c>
      <c r="C11" s="111" t="s">
        <v>178</v>
      </c>
      <c r="E11" s="91">
        <v>-142257</v>
      </c>
      <c r="F11" s="91">
        <v>-138908</v>
      </c>
      <c r="G11" s="91">
        <v>-164391</v>
      </c>
      <c r="H11" s="91">
        <v>-767346</v>
      </c>
      <c r="I11" s="91">
        <v>-1212902</v>
      </c>
      <c r="K11" s="91">
        <v>-147020</v>
      </c>
      <c r="L11" s="91">
        <v>-172938</v>
      </c>
      <c r="M11" s="91">
        <v>-188160</v>
      </c>
      <c r="N11" s="91">
        <v>-224017</v>
      </c>
      <c r="O11" s="91">
        <v>-732135</v>
      </c>
      <c r="Q11" s="91">
        <v>-236307</v>
      </c>
      <c r="R11" s="91">
        <v>-236955</v>
      </c>
      <c r="S11" s="91">
        <v>-246878</v>
      </c>
      <c r="T11" s="91">
        <v>-269456</v>
      </c>
      <c r="U11" s="91">
        <v>-989596</v>
      </c>
      <c r="W11" s="91">
        <v>-249945</v>
      </c>
      <c r="X11" s="91">
        <v>-247231</v>
      </c>
      <c r="Y11" s="91">
        <v>-262256</v>
      </c>
      <c r="Z11" s="91">
        <v>-272729</v>
      </c>
      <c r="AA11" s="91">
        <v>-1032161</v>
      </c>
      <c r="AC11" s="91">
        <v>-281438</v>
      </c>
      <c r="AD11" s="91">
        <v>-292689</v>
      </c>
      <c r="AE11" s="91">
        <v>-286852</v>
      </c>
      <c r="AF11" s="91">
        <v>-281991</v>
      </c>
      <c r="AG11" s="91">
        <f t="shared" si="0"/>
        <v>-1142970</v>
      </c>
      <c r="AI11" s="91">
        <v>-305671</v>
      </c>
      <c r="AJ11" s="91">
        <v>-312183</v>
      </c>
      <c r="AK11" s="91">
        <v>-315480</v>
      </c>
      <c r="AL11" s="91">
        <v>-316726</v>
      </c>
      <c r="AM11" s="91">
        <v>-1250060</v>
      </c>
      <c r="AO11" s="91">
        <v>-356223.03100000002</v>
      </c>
      <c r="AP11" s="91">
        <v>-358104</v>
      </c>
      <c r="AQ11" s="91"/>
      <c r="AR11" s="91"/>
      <c r="AS11" s="91">
        <f t="shared" si="2"/>
        <v>-714327.03099999996</v>
      </c>
    </row>
    <row r="12" spans="1:45" ht="15.75" x14ac:dyDescent="0.25">
      <c r="A12" s="110" t="str">
        <f>IF(Menu!$D$7="Português/Portuguese",B12,C12)</f>
        <v>Lucro Bruto</v>
      </c>
      <c r="B12" s="110" t="s">
        <v>75</v>
      </c>
      <c r="C12" s="110" t="s">
        <v>74</v>
      </c>
      <c r="E12" s="101">
        <v>1014287</v>
      </c>
      <c r="F12" s="101">
        <v>1526919</v>
      </c>
      <c r="G12" s="101">
        <v>2934058</v>
      </c>
      <c r="H12" s="101">
        <v>2833659</v>
      </c>
      <c r="I12" s="101">
        <v>8308923</v>
      </c>
      <c r="K12" s="101">
        <v>3731501</v>
      </c>
      <c r="L12" s="101">
        <v>5265702</v>
      </c>
      <c r="M12" s="101">
        <v>1059260</v>
      </c>
      <c r="N12" s="101">
        <v>975141</v>
      </c>
      <c r="O12" s="101">
        <v>11031604</v>
      </c>
      <c r="Q12" s="101">
        <v>2287985</v>
      </c>
      <c r="R12" s="101">
        <v>844065</v>
      </c>
      <c r="S12" s="101">
        <v>945869</v>
      </c>
      <c r="T12" s="101">
        <v>2111380</v>
      </c>
      <c r="U12" s="101">
        <v>6189299</v>
      </c>
      <c r="W12" s="101">
        <v>2286867</v>
      </c>
      <c r="X12" s="101">
        <v>1391502</v>
      </c>
      <c r="Y12" s="101">
        <v>2316017</v>
      </c>
      <c r="Z12" s="101">
        <v>3046982</v>
      </c>
      <c r="AA12" s="101">
        <v>9041369</v>
      </c>
      <c r="AC12" s="101">
        <v>1620595</v>
      </c>
      <c r="AD12" s="101">
        <v>2242775</v>
      </c>
      <c r="AE12" s="101">
        <v>1903486</v>
      </c>
      <c r="AF12" s="101">
        <v>2704434</v>
      </c>
      <c r="AG12" s="101">
        <f>SUM(AC12:AF12)</f>
        <v>8471290</v>
      </c>
      <c r="AI12" s="101">
        <v>1673681</v>
      </c>
      <c r="AJ12" s="101">
        <v>1660326</v>
      </c>
      <c r="AK12" s="101">
        <v>2500589</v>
      </c>
      <c r="AL12" s="101">
        <v>2339947</v>
      </c>
      <c r="AM12" s="101">
        <v>8174544</v>
      </c>
      <c r="AO12" s="101">
        <v>1669249</v>
      </c>
      <c r="AP12" s="101">
        <v>1507354.6987514007</v>
      </c>
      <c r="AQ12" s="101"/>
      <c r="AR12" s="101"/>
      <c r="AS12" s="101">
        <f t="shared" si="2"/>
        <v>3176603.6987514007</v>
      </c>
    </row>
    <row r="13" spans="1:45" ht="17.25" x14ac:dyDescent="0.3">
      <c r="A13" s="112" t="str">
        <f>IF(Menu!$D$7="Português/Portuguese",B13,C13)</f>
        <v>Margem Bruta (%)</v>
      </c>
      <c r="B13" s="112" t="s">
        <v>73</v>
      </c>
      <c r="C13" s="112" t="s">
        <v>72</v>
      </c>
      <c r="E13" s="126">
        <v>0.55685261965100596</v>
      </c>
      <c r="F13" s="126">
        <v>0.53069062952909574</v>
      </c>
      <c r="G13" s="126">
        <v>0.69218597872195364</v>
      </c>
      <c r="H13" s="126">
        <v>0.58401779222128236</v>
      </c>
      <c r="I13" s="126">
        <v>0.60255298022826154</v>
      </c>
      <c r="J13" s="127"/>
      <c r="K13" s="126">
        <v>0.66178144458612731</v>
      </c>
      <c r="L13" s="126">
        <v>0.68445065242263226</v>
      </c>
      <c r="M13" s="126">
        <v>0.34643658545120709</v>
      </c>
      <c r="N13" s="126">
        <v>0.36792414387941985</v>
      </c>
      <c r="O13" s="126">
        <v>0.57939495276989561</v>
      </c>
      <c r="P13" s="127"/>
      <c r="Q13" s="126">
        <v>0.58791220933100907</v>
      </c>
      <c r="R13" s="126">
        <v>0.31503202890009663</v>
      </c>
      <c r="S13" s="126">
        <v>0.34729421803551114</v>
      </c>
      <c r="T13" s="126">
        <v>0.53076206832752815</v>
      </c>
      <c r="U13" s="126">
        <v>0.4663227492199134</v>
      </c>
      <c r="V13" s="127"/>
      <c r="W13" s="126">
        <v>0.5065793802005214</v>
      </c>
      <c r="X13" s="126">
        <v>0.3466611460055426</v>
      </c>
      <c r="Y13" s="126">
        <v>0.47856020557274725</v>
      </c>
      <c r="Z13" s="126">
        <v>0.55273739050174953</v>
      </c>
      <c r="AA13" s="126">
        <v>0.47887526478480941</v>
      </c>
      <c r="AB13" s="127"/>
      <c r="AC13" s="126">
        <v>0.46160815937522343</v>
      </c>
      <c r="AD13" s="126">
        <v>0.53538899088744796</v>
      </c>
      <c r="AE13" s="126">
        <v>0.47984993581786595</v>
      </c>
      <c r="AF13" s="126">
        <v>0.55996306162021592</v>
      </c>
      <c r="AG13" s="126">
        <f>IFERROR(AG12/AG6,0)</f>
        <v>0.51352614041061406</v>
      </c>
      <c r="AH13" s="127"/>
      <c r="AI13" s="126">
        <v>0.42790016418749177</v>
      </c>
      <c r="AJ13" s="126">
        <v>0.41115476640346371</v>
      </c>
      <c r="AK13" s="126">
        <v>0.48592178929447755</v>
      </c>
      <c r="AL13" s="126">
        <f>AL12/AL6</f>
        <v>0.47468579247443687</v>
      </c>
      <c r="AM13" s="126">
        <v>0.4535084119546271</v>
      </c>
      <c r="AN13" s="127"/>
      <c r="AO13" s="126">
        <f>AO12/AO6</f>
        <v>0.45064499573854394</v>
      </c>
      <c r="AP13" s="126">
        <f>AP12/AP6</f>
        <v>0.41717951678106208</v>
      </c>
      <c r="AQ13" s="126"/>
      <c r="AR13" s="126"/>
      <c r="AS13" s="126">
        <f>AS12/AS6</f>
        <v>0.43412018590252172</v>
      </c>
    </row>
    <row r="14" spans="1:45" ht="15.75" x14ac:dyDescent="0.25">
      <c r="A14" s="110" t="str">
        <f>IF(Menu!$D$7="Português/Portuguese",B14,C14)</f>
        <v>Despesas/Receitas Operacionais</v>
      </c>
      <c r="B14" s="110" t="s">
        <v>177</v>
      </c>
      <c r="C14" s="110" t="s">
        <v>176</v>
      </c>
      <c r="E14" s="101">
        <v>-483100</v>
      </c>
      <c r="F14" s="101">
        <v>-326737</v>
      </c>
      <c r="G14" s="101">
        <v>-626665</v>
      </c>
      <c r="H14" s="101">
        <v>-612011</v>
      </c>
      <c r="I14" s="101">
        <v>-2006533</v>
      </c>
      <c r="K14" s="101">
        <v>-322624</v>
      </c>
      <c r="L14" s="101">
        <v>-792276</v>
      </c>
      <c r="M14" s="101">
        <v>-31872</v>
      </c>
      <c r="N14" s="101">
        <v>-415334</v>
      </c>
      <c r="O14" s="101">
        <v>-1562106</v>
      </c>
      <c r="Q14" s="101">
        <v>-218290</v>
      </c>
      <c r="R14" s="101">
        <v>-180460</v>
      </c>
      <c r="S14" s="101">
        <v>-261914</v>
      </c>
      <c r="T14" s="101">
        <v>-776065</v>
      </c>
      <c r="U14" s="101">
        <v>-1436729</v>
      </c>
      <c r="W14" s="101">
        <v>-1138329</v>
      </c>
      <c r="X14" s="101">
        <v>-306494</v>
      </c>
      <c r="Y14" s="101">
        <v>-544884</v>
      </c>
      <c r="Z14" s="101">
        <v>-1015288</v>
      </c>
      <c r="AA14" s="101">
        <v>-3004994</v>
      </c>
      <c r="AC14" s="101">
        <v>-785945</v>
      </c>
      <c r="AD14" s="101">
        <v>-521097</v>
      </c>
      <c r="AE14" s="101">
        <v>-1063024</v>
      </c>
      <c r="AF14" s="101">
        <v>-1133915</v>
      </c>
      <c r="AG14" s="101">
        <f t="shared" ref="AG14:AG32" si="3">SUM(AC14:AF14)</f>
        <v>-3503981</v>
      </c>
      <c r="AI14" s="101">
        <v>-550002</v>
      </c>
      <c r="AJ14" s="101">
        <v>-728151</v>
      </c>
      <c r="AK14" s="101">
        <v>-877148</v>
      </c>
      <c r="AL14" s="101">
        <v>-1008103</v>
      </c>
      <c r="AM14" s="101">
        <v>-3163404</v>
      </c>
      <c r="AO14" s="101">
        <v>-745123</v>
      </c>
      <c r="AP14" s="101">
        <v>-744744</v>
      </c>
      <c r="AQ14" s="101"/>
      <c r="AR14" s="101"/>
      <c r="AS14" s="101">
        <f t="shared" si="2"/>
        <v>-1489867</v>
      </c>
    </row>
    <row r="15" spans="1:45" ht="17.25" x14ac:dyDescent="0.3">
      <c r="A15" s="89" t="str">
        <f>IF(Menu!$D$7="Português/Portuguese",B15,C15)</f>
        <v>Despesas com Vendas</v>
      </c>
      <c r="B15" s="111" t="s">
        <v>175</v>
      </c>
      <c r="C15" s="111" t="s">
        <v>174</v>
      </c>
      <c r="E15" s="91">
        <v>-204104</v>
      </c>
      <c r="F15" s="91">
        <v>-236394</v>
      </c>
      <c r="G15" s="91">
        <v>-398052</v>
      </c>
      <c r="H15" s="91">
        <v>-381417</v>
      </c>
      <c r="I15" s="91">
        <v>-1219967</v>
      </c>
      <c r="K15" s="91">
        <v>-183141</v>
      </c>
      <c r="L15" s="91">
        <v>-450766</v>
      </c>
      <c r="M15" s="91">
        <v>-299027</v>
      </c>
      <c r="N15" s="91">
        <v>-319325</v>
      </c>
      <c r="O15" s="91">
        <v>-1252259</v>
      </c>
      <c r="Q15" s="91">
        <v>-80265</v>
      </c>
      <c r="R15" s="91">
        <v>-148577</v>
      </c>
      <c r="S15" s="91">
        <v>-235784</v>
      </c>
      <c r="T15" s="91">
        <v>-564216</v>
      </c>
      <c r="U15" s="91">
        <v>-1028842</v>
      </c>
      <c r="W15" s="91">
        <v>-479489</v>
      </c>
      <c r="X15" s="91">
        <v>-500198</v>
      </c>
      <c r="Y15" s="91">
        <v>-552875</v>
      </c>
      <c r="Z15" s="91">
        <v>-517708</v>
      </c>
      <c r="AA15" s="91">
        <v>-2050270</v>
      </c>
      <c r="AC15" s="91">
        <v>-737420</v>
      </c>
      <c r="AD15" s="91">
        <v>-866547</v>
      </c>
      <c r="AE15" s="91">
        <v>-1006784</v>
      </c>
      <c r="AF15" s="91">
        <v>-926922</v>
      </c>
      <c r="AG15" s="91">
        <f t="shared" si="3"/>
        <v>-3537673</v>
      </c>
      <c r="AI15" s="91">
        <v>-507748</v>
      </c>
      <c r="AJ15" s="91">
        <v>-653036</v>
      </c>
      <c r="AK15" s="91">
        <v>-783065</v>
      </c>
      <c r="AL15" s="91">
        <v>-850872</v>
      </c>
      <c r="AM15" s="91">
        <v>-2794721</v>
      </c>
      <c r="AO15" s="91">
        <v>-563644.26705000002</v>
      </c>
      <c r="AP15" s="91">
        <v>-795991</v>
      </c>
      <c r="AQ15" s="91"/>
      <c r="AR15" s="91"/>
      <c r="AS15" s="91">
        <f t="shared" si="2"/>
        <v>-1359635.2670499999</v>
      </c>
    </row>
    <row r="16" spans="1:45" ht="17.25" x14ac:dyDescent="0.3">
      <c r="A16" s="89" t="str">
        <f>IF(Menu!$D$7="Português/Portuguese",B16,C16)</f>
        <v>Despesas Gerais e Administrativas</v>
      </c>
      <c r="B16" s="111" t="s">
        <v>173</v>
      </c>
      <c r="C16" s="111" t="s">
        <v>172</v>
      </c>
      <c r="E16" s="91">
        <v>-40019</v>
      </c>
      <c r="F16" s="91">
        <v>-38257</v>
      </c>
      <c r="G16" s="91">
        <v>-37866</v>
      </c>
      <c r="H16" s="91">
        <v>-43107</v>
      </c>
      <c r="I16" s="91">
        <v>159249</v>
      </c>
      <c r="K16" s="91">
        <v>-30727</v>
      </c>
      <c r="L16" s="91">
        <v>-32226</v>
      </c>
      <c r="M16" s="91">
        <v>-37560</v>
      </c>
      <c r="N16" s="91">
        <v>-29608</v>
      </c>
      <c r="O16" s="91">
        <v>-130121</v>
      </c>
      <c r="P16" s="91"/>
      <c r="Q16" s="91">
        <v>-29370</v>
      </c>
      <c r="R16" s="91">
        <v>-25001</v>
      </c>
      <c r="S16" s="91">
        <v>-30935</v>
      </c>
      <c r="T16" s="91">
        <v>-31870</v>
      </c>
      <c r="U16" s="91">
        <v>-117176</v>
      </c>
      <c r="W16" s="91">
        <v>-38925</v>
      </c>
      <c r="X16" s="91">
        <v>-40423</v>
      </c>
      <c r="Y16" s="91">
        <v>-37673</v>
      </c>
      <c r="Z16" s="91">
        <v>-43114</v>
      </c>
      <c r="AA16" s="91">
        <v>-160135</v>
      </c>
      <c r="AC16" s="91">
        <v>-41264</v>
      </c>
      <c r="AD16" s="91">
        <v>-50467</v>
      </c>
      <c r="AE16" s="91">
        <v>-44740</v>
      </c>
      <c r="AF16" s="91">
        <v>-44310</v>
      </c>
      <c r="AG16" s="91">
        <v>180714</v>
      </c>
      <c r="AI16" s="91">
        <v>-44338</v>
      </c>
      <c r="AJ16" s="91">
        <v>-51165</v>
      </c>
      <c r="AK16" s="91">
        <v>-41571</v>
      </c>
      <c r="AL16" s="91">
        <v>-44536</v>
      </c>
      <c r="AM16" s="91">
        <v>-181609</v>
      </c>
      <c r="AO16" s="91">
        <v>-41953.654479999997</v>
      </c>
      <c r="AP16" s="91">
        <v>-51377</v>
      </c>
      <c r="AQ16" s="91"/>
      <c r="AR16" s="91"/>
      <c r="AS16" s="91">
        <f t="shared" si="2"/>
        <v>-93330.654479999997</v>
      </c>
    </row>
    <row r="17" spans="1:45" ht="17.25" x14ac:dyDescent="0.3">
      <c r="A17" s="89" t="s">
        <v>439</v>
      </c>
      <c r="B17" s="111"/>
      <c r="C17" s="111"/>
      <c r="E17" s="91">
        <v>-11</v>
      </c>
      <c r="F17" s="91">
        <v>-12</v>
      </c>
      <c r="G17" s="91">
        <v>-12</v>
      </c>
      <c r="H17" s="91">
        <v>-12</v>
      </c>
      <c r="I17" s="91">
        <v>47</v>
      </c>
      <c r="K17" s="91">
        <v>-12</v>
      </c>
      <c r="L17" s="91">
        <v>-12</v>
      </c>
      <c r="M17" s="91">
        <v>-11</v>
      </c>
      <c r="N17" s="91">
        <v>-9</v>
      </c>
      <c r="O17" s="91">
        <v>-44</v>
      </c>
      <c r="Q17" s="91">
        <v>-6</v>
      </c>
      <c r="R17" s="91">
        <v>-1</v>
      </c>
      <c r="S17" s="91">
        <v>-1</v>
      </c>
      <c r="T17" s="91">
        <v>-264</v>
      </c>
      <c r="U17" s="91">
        <v>-272</v>
      </c>
      <c r="W17" s="91">
        <v>-265</v>
      </c>
      <c r="X17" s="91">
        <v>-263</v>
      </c>
      <c r="Y17" s="91">
        <v>-264</v>
      </c>
      <c r="Z17" s="91">
        <v>-262</v>
      </c>
      <c r="AA17" s="91">
        <v>-1054</v>
      </c>
      <c r="AC17" s="91">
        <v>-265</v>
      </c>
      <c r="AD17" s="91">
        <v>-392</v>
      </c>
      <c r="AE17" s="91">
        <v>-339</v>
      </c>
      <c r="AF17" s="91">
        <v>-342</v>
      </c>
      <c r="AG17" s="91">
        <f t="shared" si="3"/>
        <v>-1338</v>
      </c>
      <c r="AI17" s="91">
        <v>-4685</v>
      </c>
      <c r="AJ17" s="91">
        <v>-4107</v>
      </c>
      <c r="AK17" s="91">
        <v>-2983</v>
      </c>
      <c r="AL17" s="91">
        <v>-8180</v>
      </c>
      <c r="AM17" s="91">
        <v>-19955</v>
      </c>
      <c r="AO17" s="91">
        <v>-508.39897999999999</v>
      </c>
      <c r="AP17" s="91">
        <v>-507</v>
      </c>
      <c r="AQ17" s="91"/>
      <c r="AR17" s="91"/>
      <c r="AS17" s="91">
        <f t="shared" si="2"/>
        <v>-1015.3989799999999</v>
      </c>
    </row>
    <row r="18" spans="1:45" s="87" customFormat="1" ht="17.25" x14ac:dyDescent="0.3">
      <c r="A18" s="89" t="str">
        <f>IF(Menu!$D$7="Português/Portuguese",B18,C18)</f>
        <v>Outras Receitas Operacionais</v>
      </c>
      <c r="B18" s="111" t="s">
        <v>171</v>
      </c>
      <c r="C18" s="111" t="s">
        <v>170</v>
      </c>
      <c r="D18" s="85"/>
      <c r="E18" s="91">
        <v>-20989</v>
      </c>
      <c r="F18" s="91">
        <v>4018</v>
      </c>
      <c r="G18" s="91">
        <v>5392</v>
      </c>
      <c r="H18" s="91">
        <v>2487</v>
      </c>
      <c r="I18" s="91">
        <v>32886</v>
      </c>
      <c r="J18" s="85"/>
      <c r="K18" s="91">
        <v>3580</v>
      </c>
      <c r="L18" s="91">
        <v>-2130</v>
      </c>
      <c r="M18" s="91">
        <v>3532</v>
      </c>
      <c r="N18" s="91">
        <v>24986</v>
      </c>
      <c r="O18" s="91">
        <v>29968</v>
      </c>
      <c r="P18" s="85"/>
      <c r="Q18" s="91">
        <v>407</v>
      </c>
      <c r="R18" s="91">
        <v>24448</v>
      </c>
      <c r="S18" s="91">
        <v>-7453</v>
      </c>
      <c r="T18" s="91">
        <v>-12872</v>
      </c>
      <c r="U18" s="91">
        <v>4530</v>
      </c>
      <c r="V18" s="85"/>
      <c r="W18" s="91">
        <v>708</v>
      </c>
      <c r="X18" s="91">
        <v>218</v>
      </c>
      <c r="Y18" s="91">
        <v>738</v>
      </c>
      <c r="Z18" s="91">
        <v>127046</v>
      </c>
      <c r="AA18" s="91">
        <v>128710</v>
      </c>
      <c r="AB18" s="85"/>
      <c r="AC18" s="91">
        <v>1623</v>
      </c>
      <c r="AD18" s="91">
        <v>478722</v>
      </c>
      <c r="AE18" s="91">
        <v>-6827</v>
      </c>
      <c r="AF18" s="91">
        <v>-30116</v>
      </c>
      <c r="AG18" s="91">
        <v>449434</v>
      </c>
      <c r="AH18" s="85"/>
      <c r="AI18" s="91">
        <v>40943</v>
      </c>
      <c r="AJ18" s="91">
        <v>48203</v>
      </c>
      <c r="AK18" s="91">
        <v>3322</v>
      </c>
      <c r="AL18" s="91">
        <v>5986</v>
      </c>
      <c r="AM18" s="91">
        <v>98454</v>
      </c>
      <c r="AN18" s="85"/>
      <c r="AO18" s="91">
        <v>29737</v>
      </c>
      <c r="AP18" s="91">
        <v>199861</v>
      </c>
      <c r="AQ18" s="91"/>
      <c r="AR18" s="91"/>
      <c r="AS18" s="91">
        <f t="shared" si="2"/>
        <v>229598</v>
      </c>
    </row>
    <row r="19" spans="1:45" ht="17.25" x14ac:dyDescent="0.3">
      <c r="A19" s="89" t="str">
        <f>IF(Menu!$D$7="Português/Portuguese",B19,C19)</f>
        <v>Outras Despesas Operacionais</v>
      </c>
      <c r="B19" s="111" t="s">
        <v>169</v>
      </c>
      <c r="C19" s="111" t="s">
        <v>168</v>
      </c>
      <c r="E19" s="91">
        <v>-197542</v>
      </c>
      <c r="F19" s="91">
        <v>-76084</v>
      </c>
      <c r="G19" s="91">
        <v>-214567</v>
      </c>
      <c r="H19" s="91">
        <v>-220499</v>
      </c>
      <c r="I19" s="91">
        <v>-708692</v>
      </c>
      <c r="K19" s="91">
        <v>-119066</v>
      </c>
      <c r="L19" s="91">
        <v>-333755</v>
      </c>
      <c r="M19" s="91">
        <v>249041</v>
      </c>
      <c r="N19" s="91">
        <v>-97925</v>
      </c>
      <c r="O19" s="91">
        <v>-301705</v>
      </c>
      <c r="Q19" s="91">
        <v>-120098</v>
      </c>
      <c r="R19" s="91">
        <v>-57925</v>
      </c>
      <c r="S19" s="91">
        <v>-34424</v>
      </c>
      <c r="T19" s="91">
        <v>-199084</v>
      </c>
      <c r="U19" s="91">
        <v>-411531</v>
      </c>
      <c r="W19" s="91">
        <v>-634579</v>
      </c>
      <c r="X19" s="91">
        <v>188155</v>
      </c>
      <c r="Y19" s="91">
        <v>-9339</v>
      </c>
      <c r="Z19" s="91">
        <v>-618677</v>
      </c>
      <c r="AA19" s="91">
        <v>-1074439</v>
      </c>
      <c r="AC19" s="91">
        <v>-48753</v>
      </c>
      <c r="AD19" s="91">
        <v>-128593</v>
      </c>
      <c r="AE19" s="91">
        <v>-54623</v>
      </c>
      <c r="AF19" s="91">
        <v>-177600</v>
      </c>
      <c r="AG19" s="91">
        <v>-415604</v>
      </c>
      <c r="AI19" s="91">
        <v>-71216</v>
      </c>
      <c r="AJ19" s="91">
        <v>-141776</v>
      </c>
      <c r="AK19" s="91">
        <v>-113252</v>
      </c>
      <c r="AL19" s="91">
        <v>-165429</v>
      </c>
      <c r="AM19" s="91">
        <v>-491673</v>
      </c>
      <c r="AO19" s="91">
        <v>-165778</v>
      </c>
      <c r="AP19" s="91">
        <v>-179351</v>
      </c>
      <c r="AQ19" s="91"/>
      <c r="AR19" s="91"/>
      <c r="AS19" s="91">
        <f t="shared" si="2"/>
        <v>-345129</v>
      </c>
    </row>
    <row r="20" spans="1:45" ht="17.25" x14ac:dyDescent="0.3">
      <c r="A20" s="89" t="str">
        <f>IF(Menu!$D$7="Português/Portuguese",B20,C20)</f>
        <v>Resultado de Equivalência Patrimonial</v>
      </c>
      <c r="B20" s="111" t="s">
        <v>167</v>
      </c>
      <c r="C20" s="111" t="s">
        <v>166</v>
      </c>
      <c r="E20" s="91">
        <v>-20435</v>
      </c>
      <c r="F20" s="91">
        <v>19992</v>
      </c>
      <c r="G20" s="91">
        <v>18440</v>
      </c>
      <c r="H20" s="91">
        <v>30537</v>
      </c>
      <c r="I20" s="91">
        <v>48534</v>
      </c>
      <c r="K20" s="91">
        <v>6742</v>
      </c>
      <c r="L20" s="91">
        <v>26613</v>
      </c>
      <c r="M20" s="91">
        <v>52153</v>
      </c>
      <c r="N20" s="91">
        <v>6547</v>
      </c>
      <c r="O20" s="91">
        <v>92055</v>
      </c>
      <c r="Q20" s="91">
        <v>11042</v>
      </c>
      <c r="R20" s="91">
        <v>26596</v>
      </c>
      <c r="S20" s="91">
        <v>46683</v>
      </c>
      <c r="T20" s="91">
        <v>32241</v>
      </c>
      <c r="U20" s="91">
        <v>116562</v>
      </c>
      <c r="W20" s="91">
        <v>14221</v>
      </c>
      <c r="X20" s="91">
        <v>46017</v>
      </c>
      <c r="Y20" s="91">
        <v>54529</v>
      </c>
      <c r="Z20" s="91">
        <v>37427</v>
      </c>
      <c r="AA20" s="91">
        <v>152194</v>
      </c>
      <c r="AC20" s="91">
        <v>40134</v>
      </c>
      <c r="AD20" s="91">
        <v>46180</v>
      </c>
      <c r="AE20" s="91">
        <v>50289</v>
      </c>
      <c r="AF20" s="91">
        <v>45375</v>
      </c>
      <c r="AG20" s="91">
        <f t="shared" si="3"/>
        <v>181978</v>
      </c>
      <c r="AI20" s="91">
        <v>37042</v>
      </c>
      <c r="AJ20" s="91">
        <v>73730</v>
      </c>
      <c r="AK20" s="91">
        <v>60401</v>
      </c>
      <c r="AL20" s="91">
        <v>54928</v>
      </c>
      <c r="AM20" s="91">
        <v>226102</v>
      </c>
      <c r="AO20" s="91">
        <v>-2976</v>
      </c>
      <c r="AP20" s="91">
        <v>82621</v>
      </c>
      <c r="AQ20" s="91"/>
      <c r="AR20" s="91"/>
      <c r="AS20" s="91">
        <f t="shared" si="2"/>
        <v>79645</v>
      </c>
    </row>
    <row r="21" spans="1:45" ht="15.75" x14ac:dyDescent="0.25">
      <c r="A21" s="110" t="str">
        <f>IF(Menu!$D$7="Português/Portuguese",B21,C21)</f>
        <v>Lucro Operacional Antes do Resultado Financeiro</v>
      </c>
      <c r="B21" s="110" t="s">
        <v>165</v>
      </c>
      <c r="C21" s="110" t="s">
        <v>164</v>
      </c>
      <c r="E21" s="101">
        <v>573165</v>
      </c>
      <c r="F21" s="101">
        <v>1200182</v>
      </c>
      <c r="G21" s="101">
        <v>2307393</v>
      </c>
      <c r="H21" s="101">
        <v>2221648</v>
      </c>
      <c r="I21" s="101">
        <v>6302388</v>
      </c>
      <c r="K21" s="101">
        <v>3408877</v>
      </c>
      <c r="L21" s="101">
        <v>4473426</v>
      </c>
      <c r="M21" s="101">
        <v>1027389</v>
      </c>
      <c r="N21" s="101">
        <v>559807</v>
      </c>
      <c r="O21" s="101">
        <v>9469498</v>
      </c>
      <c r="Q21" s="101">
        <v>2069695</v>
      </c>
      <c r="R21" s="101">
        <v>663605</v>
      </c>
      <c r="S21" s="101">
        <v>683955</v>
      </c>
      <c r="T21" s="101">
        <v>1335315</v>
      </c>
      <c r="U21" s="101">
        <v>4752570</v>
      </c>
      <c r="W21" s="101">
        <v>1148538</v>
      </c>
      <c r="X21" s="101">
        <v>1085008</v>
      </c>
      <c r="Y21" s="101">
        <v>1771133</v>
      </c>
      <c r="Z21" s="101">
        <v>2031694</v>
      </c>
      <c r="AA21" s="101">
        <v>6036375</v>
      </c>
      <c r="AC21" s="101">
        <v>834650</v>
      </c>
      <c r="AD21" s="101">
        <v>1721678</v>
      </c>
      <c r="AE21" s="101">
        <v>840462</v>
      </c>
      <c r="AF21" s="101">
        <v>1570519</v>
      </c>
      <c r="AG21" s="101">
        <f t="shared" si="3"/>
        <v>4967309</v>
      </c>
      <c r="AI21" s="101">
        <v>1123679</v>
      </c>
      <c r="AJ21" s="101">
        <v>932177</v>
      </c>
      <c r="AK21" s="101">
        <v>1623442</v>
      </c>
      <c r="AL21" s="101">
        <v>1331844</v>
      </c>
      <c r="AM21" s="101">
        <v>5011142</v>
      </c>
      <c r="AO21" s="101">
        <v>924126</v>
      </c>
      <c r="AP21" s="101">
        <v>762610.69875140069</v>
      </c>
      <c r="AQ21" s="101"/>
      <c r="AR21" s="101"/>
      <c r="AS21" s="101">
        <f t="shared" si="2"/>
        <v>1686736.6987514007</v>
      </c>
    </row>
    <row r="22" spans="1:45" ht="17.25" x14ac:dyDescent="0.3">
      <c r="A22" s="89" t="str">
        <f>IF(Menu!$D$7="Português/Portuguese",B22,C22)</f>
        <v>Receitas Financeiras</v>
      </c>
      <c r="B22" s="111" t="s">
        <v>163</v>
      </c>
      <c r="C22" s="111" t="s">
        <v>162</v>
      </c>
      <c r="E22" s="91">
        <v>10236</v>
      </c>
      <c r="F22" s="91">
        <v>7393</v>
      </c>
      <c r="G22" s="91">
        <v>5317</v>
      </c>
      <c r="H22" s="91">
        <v>5274</v>
      </c>
      <c r="I22" s="91">
        <v>28220</v>
      </c>
      <c r="K22" s="91">
        <v>9535</v>
      </c>
      <c r="L22" s="91">
        <v>23864</v>
      </c>
      <c r="M22" s="91">
        <v>58148</v>
      </c>
      <c r="N22" s="91">
        <v>58001</v>
      </c>
      <c r="O22" s="91">
        <v>149548</v>
      </c>
      <c r="Q22" s="91">
        <v>77227</v>
      </c>
      <c r="R22" s="91">
        <v>54967</v>
      </c>
      <c r="S22" s="91">
        <v>109316</v>
      </c>
      <c r="T22" s="91">
        <v>102737</v>
      </c>
      <c r="U22" s="91">
        <v>344247</v>
      </c>
      <c r="W22" s="91">
        <v>127864</v>
      </c>
      <c r="X22" s="91">
        <v>124169</v>
      </c>
      <c r="Y22" s="91">
        <v>119653</v>
      </c>
      <c r="Z22" s="91">
        <v>164795</v>
      </c>
      <c r="AA22" s="91">
        <v>536481</v>
      </c>
      <c r="AC22" s="91">
        <v>132704</v>
      </c>
      <c r="AD22" s="91">
        <v>172528</v>
      </c>
      <c r="AE22" s="91">
        <v>166406</v>
      </c>
      <c r="AF22" s="91">
        <v>248140</v>
      </c>
      <c r="AG22" s="91">
        <f t="shared" si="3"/>
        <v>719778</v>
      </c>
      <c r="AI22" s="91">
        <v>302859</v>
      </c>
      <c r="AJ22" s="91">
        <v>96558</v>
      </c>
      <c r="AK22" s="91">
        <v>203327</v>
      </c>
      <c r="AL22" s="91">
        <v>184457</v>
      </c>
      <c r="AM22" s="91">
        <v>787202</v>
      </c>
      <c r="AO22" s="91">
        <v>115756</v>
      </c>
      <c r="AP22" s="91">
        <v>119518</v>
      </c>
      <c r="AQ22" s="91"/>
      <c r="AR22" s="91"/>
      <c r="AS22" s="91">
        <f t="shared" si="2"/>
        <v>235274</v>
      </c>
    </row>
    <row r="23" spans="1:45" ht="17.25" x14ac:dyDescent="0.3">
      <c r="A23" s="89" t="str">
        <f>IF(Menu!$D$7="Português/Portuguese",B23,C23)</f>
        <v>Despesas Financeiras</v>
      </c>
      <c r="B23" s="111" t="s">
        <v>161</v>
      </c>
      <c r="C23" s="111" t="s">
        <v>160</v>
      </c>
      <c r="E23" s="91">
        <v>-70351</v>
      </c>
      <c r="F23" s="91">
        <v>-62065</v>
      </c>
      <c r="G23" s="91">
        <v>-76775</v>
      </c>
      <c r="H23" s="91">
        <v>-194990</v>
      </c>
      <c r="I23" s="91">
        <v>-404181</v>
      </c>
      <c r="K23" s="91">
        <v>-90595</v>
      </c>
      <c r="L23" s="91">
        <v>-71565</v>
      </c>
      <c r="M23" s="91">
        <v>-187293</v>
      </c>
      <c r="N23" s="91">
        <v>-131452</v>
      </c>
      <c r="O23" s="91">
        <v>-480905</v>
      </c>
      <c r="Q23" s="91">
        <v>-138851</v>
      </c>
      <c r="R23" s="91">
        <v>-148624</v>
      </c>
      <c r="S23" s="91">
        <v>-165305</v>
      </c>
      <c r="T23" s="91">
        <v>-199233</v>
      </c>
      <c r="U23" s="91">
        <v>-652013</v>
      </c>
      <c r="W23" s="91">
        <v>-217186</v>
      </c>
      <c r="X23" s="91">
        <v>-331646</v>
      </c>
      <c r="Y23" s="91">
        <v>-288465</v>
      </c>
      <c r="Z23" s="91">
        <v>-270947</v>
      </c>
      <c r="AA23" s="91">
        <v>-1108244</v>
      </c>
      <c r="AC23" s="91">
        <v>-335060</v>
      </c>
      <c r="AD23" s="91">
        <v>-310881</v>
      </c>
      <c r="AE23" s="91">
        <v>-386015</v>
      </c>
      <c r="AF23" s="91">
        <v>-560059</v>
      </c>
      <c r="AG23" s="91">
        <f t="shared" si="3"/>
        <v>-1592015</v>
      </c>
      <c r="AI23" s="91">
        <v>-571358</v>
      </c>
      <c r="AJ23" s="91">
        <v>-324316</v>
      </c>
      <c r="AK23" s="91">
        <v>-358688</v>
      </c>
      <c r="AL23" s="91">
        <v>-373085</v>
      </c>
      <c r="AM23" s="91">
        <v>-1627447</v>
      </c>
      <c r="AO23" s="91">
        <v>-378039</v>
      </c>
      <c r="AP23" s="91">
        <v>-327898</v>
      </c>
      <c r="AQ23" s="91"/>
      <c r="AR23" s="91"/>
      <c r="AS23" s="91">
        <f t="shared" si="2"/>
        <v>-705937</v>
      </c>
    </row>
    <row r="24" spans="1:45" ht="17.25" x14ac:dyDescent="0.3">
      <c r="A24" s="113" t="str">
        <f>IF(Menu!$D$7="Português/Portuguese",B24,C24)</f>
        <v>Variação Cambial Líquida de Instrumentos Financeiros</v>
      </c>
      <c r="B24" s="89" t="s">
        <v>159</v>
      </c>
      <c r="C24" s="89" t="s">
        <v>158</v>
      </c>
      <c r="E24" s="91">
        <v>94093</v>
      </c>
      <c r="F24" s="91">
        <v>-32555</v>
      </c>
      <c r="G24" s="91">
        <v>-24306</v>
      </c>
      <c r="H24" s="91">
        <v>-173662</v>
      </c>
      <c r="I24" s="91">
        <v>-136430</v>
      </c>
      <c r="K24" s="91">
        <v>157120</v>
      </c>
      <c r="L24" s="91">
        <v>-591101</v>
      </c>
      <c r="M24" s="91">
        <v>267423</v>
      </c>
      <c r="N24" s="91">
        <v>233061</v>
      </c>
      <c r="O24" s="91">
        <v>66503</v>
      </c>
      <c r="Q24" s="91">
        <v>-903390</v>
      </c>
      <c r="R24" s="91">
        <v>661973</v>
      </c>
      <c r="S24" s="91">
        <v>119047</v>
      </c>
      <c r="T24" s="91">
        <v>-342032</v>
      </c>
      <c r="U24" s="91">
        <v>-464402</v>
      </c>
      <c r="W24" s="91">
        <v>-291830</v>
      </c>
      <c r="X24" s="91">
        <v>-298837</v>
      </c>
      <c r="Y24" s="91">
        <v>171568</v>
      </c>
      <c r="Z24" s="91">
        <v>-238955</v>
      </c>
      <c r="AA24" s="91">
        <v>-658054</v>
      </c>
      <c r="AC24" s="91">
        <v>158266</v>
      </c>
      <c r="AD24" s="91">
        <v>574764</v>
      </c>
      <c r="AE24" s="91">
        <v>-205622</v>
      </c>
      <c r="AF24" s="91">
        <v>1126647</v>
      </c>
      <c r="AG24" s="91">
        <f t="shared" si="3"/>
        <v>1654055</v>
      </c>
      <c r="AI24" s="91">
        <v>-1046865</v>
      </c>
      <c r="AJ24" s="91">
        <v>-522301</v>
      </c>
      <c r="AK24" s="91">
        <v>-411267</v>
      </c>
      <c r="AL24" s="91">
        <v>257876</v>
      </c>
      <c r="AM24" s="91">
        <v>-1722557</v>
      </c>
      <c r="AO24" s="91">
        <v>-363725</v>
      </c>
      <c r="AP24" s="91">
        <f>-282236-1</f>
        <v>-282237</v>
      </c>
      <c r="AQ24" s="91"/>
      <c r="AR24" s="91"/>
      <c r="AS24" s="91">
        <f t="shared" si="2"/>
        <v>-645962</v>
      </c>
    </row>
    <row r="25" spans="1:45" ht="17.25" x14ac:dyDescent="0.3">
      <c r="A25" s="113" t="str">
        <f>IF(Menu!$D$7="Português/Portuguese",B25,C25)</f>
        <v>Outras Despesas Financeiras</v>
      </c>
      <c r="B25" s="89" t="s">
        <v>157</v>
      </c>
      <c r="C25" s="89" t="s">
        <v>156</v>
      </c>
      <c r="E25" s="91">
        <v>0</v>
      </c>
      <c r="F25" s="91">
        <v>0</v>
      </c>
      <c r="G25" s="91">
        <v>0</v>
      </c>
      <c r="H25" s="91">
        <v>0</v>
      </c>
      <c r="I25" s="91">
        <v>0</v>
      </c>
      <c r="K25" s="91">
        <v>0</v>
      </c>
      <c r="L25" s="91">
        <v>0</v>
      </c>
      <c r="M25" s="91">
        <v>0</v>
      </c>
      <c r="N25" s="91">
        <v>0</v>
      </c>
      <c r="O25" s="91">
        <v>0</v>
      </c>
      <c r="Q25" s="91">
        <v>0</v>
      </c>
      <c r="R25" s="91">
        <v>0</v>
      </c>
      <c r="S25" s="91">
        <v>0</v>
      </c>
      <c r="T25" s="91">
        <v>0</v>
      </c>
      <c r="U25" s="91">
        <v>0</v>
      </c>
      <c r="W25" s="91">
        <v>0</v>
      </c>
      <c r="X25" s="91">
        <v>0</v>
      </c>
      <c r="Y25" s="91">
        <v>0</v>
      </c>
      <c r="Z25" s="91">
        <v>0</v>
      </c>
      <c r="AA25" s="91">
        <v>0</v>
      </c>
      <c r="AC25" s="91">
        <v>0</v>
      </c>
      <c r="AD25" s="91">
        <v>0</v>
      </c>
      <c r="AE25" s="91">
        <v>0</v>
      </c>
      <c r="AF25" s="91">
        <v>0</v>
      </c>
      <c r="AG25" s="91">
        <f t="shared" si="3"/>
        <v>0</v>
      </c>
      <c r="AI25" s="91">
        <v>0</v>
      </c>
      <c r="AJ25" s="91">
        <v>0</v>
      </c>
      <c r="AK25" s="91">
        <v>0</v>
      </c>
      <c r="AL25" s="91">
        <v>0</v>
      </c>
      <c r="AM25" s="91">
        <v>0</v>
      </c>
      <c r="AO25" s="91">
        <v>0</v>
      </c>
      <c r="AP25" s="91">
        <v>0</v>
      </c>
      <c r="AQ25" s="91"/>
      <c r="AR25" s="91"/>
      <c r="AS25" s="91">
        <f t="shared" si="2"/>
        <v>0</v>
      </c>
    </row>
    <row r="26" spans="1:45" ht="15.75" x14ac:dyDescent="0.25">
      <c r="A26" s="110" t="str">
        <f>IF(Menu!$D$7="Português/Portuguese",B26,C26)</f>
        <v>Resultado Antes dos Tributos sobre o Lucro</v>
      </c>
      <c r="B26" s="110" t="s">
        <v>155</v>
      </c>
      <c r="C26" s="110" t="s">
        <v>154</v>
      </c>
      <c r="E26" s="101">
        <v>607143</v>
      </c>
      <c r="F26" s="101">
        <v>1112955</v>
      </c>
      <c r="G26" s="101">
        <v>2211629</v>
      </c>
      <c r="H26" s="101">
        <v>1858270</v>
      </c>
      <c r="I26" s="101">
        <v>5789997</v>
      </c>
      <c r="K26" s="101">
        <v>3484937</v>
      </c>
      <c r="L26" s="101">
        <v>3834624</v>
      </c>
      <c r="M26" s="101">
        <v>1165667</v>
      </c>
      <c r="N26" s="101">
        <v>719417</v>
      </c>
      <c r="O26" s="101">
        <v>9204644</v>
      </c>
      <c r="Q26" s="101">
        <v>1104681</v>
      </c>
      <c r="R26" s="101">
        <v>1231921</v>
      </c>
      <c r="S26" s="101">
        <v>747013</v>
      </c>
      <c r="T26" s="101">
        <v>896787</v>
      </c>
      <c r="U26" s="101">
        <v>3980402</v>
      </c>
      <c r="W26" s="101">
        <v>767386</v>
      </c>
      <c r="X26" s="101">
        <v>578694</v>
      </c>
      <c r="Y26" s="101">
        <v>1773890</v>
      </c>
      <c r="Z26" s="101">
        <v>1686587</v>
      </c>
      <c r="AA26" s="101">
        <v>4806558</v>
      </c>
      <c r="AC26" s="101">
        <v>790560</v>
      </c>
      <c r="AD26" s="101">
        <v>2158089</v>
      </c>
      <c r="AE26" s="101">
        <v>415231</v>
      </c>
      <c r="AF26" s="101">
        <v>2385247</v>
      </c>
      <c r="AG26" s="101">
        <f t="shared" si="3"/>
        <v>5749127</v>
      </c>
      <c r="AI26" s="101">
        <v>-191685</v>
      </c>
      <c r="AJ26" s="101">
        <v>182119</v>
      </c>
      <c r="AK26" s="101">
        <v>1056815</v>
      </c>
      <c r="AL26" s="101">
        <v>1401093</v>
      </c>
      <c r="AM26" s="101">
        <v>2448341</v>
      </c>
      <c r="AO26" s="101">
        <v>298118</v>
      </c>
      <c r="AP26" s="101">
        <v>271994</v>
      </c>
      <c r="AQ26" s="101"/>
      <c r="AR26" s="101"/>
      <c r="AS26" s="101">
        <f t="shared" si="2"/>
        <v>570112</v>
      </c>
    </row>
    <row r="27" spans="1:45" ht="17.25" x14ac:dyDescent="0.3">
      <c r="A27" s="89" t="str">
        <f>IF(Menu!$D$7="Português/Portuguese",B27,C27)</f>
        <v>Imposto de Renda e Contribuição Social sobre o Lucro</v>
      </c>
      <c r="B27" s="89" t="s">
        <v>153</v>
      </c>
      <c r="C27" s="89" t="s">
        <v>152</v>
      </c>
      <c r="E27" s="91">
        <v>-205903</v>
      </c>
      <c r="F27" s="91">
        <v>-292954</v>
      </c>
      <c r="G27" s="91">
        <v>-744148</v>
      </c>
      <c r="H27" s="91">
        <v>-516282</v>
      </c>
      <c r="I27" s="91">
        <v>-1759287</v>
      </c>
      <c r="K27" s="91">
        <v>-1122276</v>
      </c>
      <c r="L27" s="91">
        <v>-1333984</v>
      </c>
      <c r="M27" s="91">
        <v>-361603</v>
      </c>
      <c r="N27" s="91">
        <v>-15815</v>
      </c>
      <c r="O27" s="91">
        <v>-2833678</v>
      </c>
      <c r="Q27" s="91">
        <v>-365540</v>
      </c>
      <c r="R27" s="91">
        <v>-406200</v>
      </c>
      <c r="S27" s="91">
        <v>-232956</v>
      </c>
      <c r="T27" s="91">
        <v>-25408</v>
      </c>
      <c r="U27" s="91">
        <v>-1030104</v>
      </c>
      <c r="W27" s="91">
        <v>-251589</v>
      </c>
      <c r="X27" s="91">
        <v>-84514</v>
      </c>
      <c r="Y27" s="91">
        <v>-573962</v>
      </c>
      <c r="Z27" s="91">
        <v>-327756</v>
      </c>
      <c r="AA27" s="91">
        <v>-1237821</v>
      </c>
      <c r="AC27" s="91">
        <v>-232622</v>
      </c>
      <c r="AD27" s="91">
        <v>-650647</v>
      </c>
      <c r="AE27" s="91">
        <v>31075</v>
      </c>
      <c r="AF27" s="91">
        <v>-369213</v>
      </c>
      <c r="AG27" s="91">
        <f>SUM(AC27:AF27)</f>
        <v>-1221407</v>
      </c>
      <c r="AI27" s="91">
        <v>-165603</v>
      </c>
      <c r="AJ27" s="91">
        <v>-66352</v>
      </c>
      <c r="AK27" s="91">
        <v>-360548</v>
      </c>
      <c r="AL27" s="91">
        <v>-206679</v>
      </c>
      <c r="AM27" s="91">
        <v>-799182</v>
      </c>
      <c r="AO27" s="91">
        <v>-75991</v>
      </c>
      <c r="AP27" s="91">
        <v>-52599</v>
      </c>
      <c r="AQ27" s="91"/>
      <c r="AR27" s="91"/>
      <c r="AS27" s="91">
        <f t="shared" si="2"/>
        <v>-128590</v>
      </c>
    </row>
    <row r="28" spans="1:45" ht="17.25" x14ac:dyDescent="0.3">
      <c r="A28" s="89" t="str">
        <f>IF(Menu!$D$7="Português/Portuguese",B28,C28)</f>
        <v>Resultado Líquido das Operações Continuadas</v>
      </c>
      <c r="B28" s="89" t="s">
        <v>151</v>
      </c>
      <c r="C28" s="89" t="s">
        <v>150</v>
      </c>
      <c r="E28" s="91">
        <v>401240</v>
      </c>
      <c r="F28" s="91">
        <v>820001</v>
      </c>
      <c r="G28" s="91">
        <v>1467481</v>
      </c>
      <c r="H28" s="91">
        <v>1341988</v>
      </c>
      <c r="I28" s="91">
        <v>4030710</v>
      </c>
      <c r="K28" s="91">
        <v>2362661</v>
      </c>
      <c r="L28" s="91">
        <v>2500640</v>
      </c>
      <c r="M28" s="91">
        <v>804064</v>
      </c>
      <c r="N28" s="91">
        <v>703602</v>
      </c>
      <c r="O28" s="91">
        <v>6370966</v>
      </c>
      <c r="Q28" s="91">
        <v>739141</v>
      </c>
      <c r="R28" s="91">
        <v>825721</v>
      </c>
      <c r="S28" s="91">
        <v>514057</v>
      </c>
      <c r="T28" s="91">
        <v>871379</v>
      </c>
      <c r="U28" s="91">
        <v>2950298</v>
      </c>
      <c r="W28" s="91">
        <v>515797</v>
      </c>
      <c r="X28" s="91">
        <v>494180</v>
      </c>
      <c r="Y28" s="91">
        <v>1199928</v>
      </c>
      <c r="Z28" s="91">
        <v>1358831</v>
      </c>
      <c r="AA28" s="91">
        <v>3568737</v>
      </c>
      <c r="AC28" s="91">
        <v>557938</v>
      </c>
      <c r="AD28" s="91">
        <v>1507442</v>
      </c>
      <c r="AE28" s="91">
        <v>446306</v>
      </c>
      <c r="AF28" s="91">
        <v>2016034</v>
      </c>
      <c r="AG28" s="91">
        <f t="shared" si="3"/>
        <v>4527720</v>
      </c>
      <c r="AI28" s="91">
        <v>-357288</v>
      </c>
      <c r="AJ28" s="91">
        <v>115767</v>
      </c>
      <c r="AK28" s="91">
        <v>696267</v>
      </c>
      <c r="AL28" s="91">
        <v>1194414</v>
      </c>
      <c r="AM28" s="91">
        <v>1649159</v>
      </c>
      <c r="AO28" s="91">
        <v>222127</v>
      </c>
      <c r="AP28" s="91">
        <v>219395</v>
      </c>
      <c r="AQ28" s="91"/>
      <c r="AR28" s="91"/>
      <c r="AS28" s="91">
        <f t="shared" si="2"/>
        <v>441522</v>
      </c>
    </row>
    <row r="29" spans="1:45" ht="17.25" x14ac:dyDescent="0.3">
      <c r="A29" s="89" t="str">
        <f>IF(Menu!$D$7="Português/Portuguese",B29,C29)</f>
        <v>Resultado Líquido de Operações Descontinuadas</v>
      </c>
      <c r="B29" s="89" t="s">
        <v>149</v>
      </c>
      <c r="C29" s="89" t="s">
        <v>148</v>
      </c>
      <c r="E29" s="91">
        <v>0</v>
      </c>
      <c r="F29" s="91">
        <v>0</v>
      </c>
      <c r="G29" s="91">
        <v>0</v>
      </c>
      <c r="H29" s="91">
        <v>0</v>
      </c>
      <c r="I29" s="91">
        <v>0</v>
      </c>
      <c r="K29" s="91">
        <v>0</v>
      </c>
      <c r="L29" s="91">
        <v>0</v>
      </c>
      <c r="M29" s="91">
        <v>0</v>
      </c>
      <c r="N29" s="91">
        <v>0</v>
      </c>
      <c r="O29" s="91">
        <v>0</v>
      </c>
      <c r="Q29" s="91">
        <v>0</v>
      </c>
      <c r="R29" s="91">
        <v>0</v>
      </c>
      <c r="S29" s="91">
        <v>0</v>
      </c>
      <c r="T29" s="91">
        <v>0</v>
      </c>
      <c r="U29" s="91">
        <v>0</v>
      </c>
      <c r="W29" s="91">
        <v>0</v>
      </c>
      <c r="X29" s="91">
        <v>0</v>
      </c>
      <c r="Y29" s="91">
        <v>0</v>
      </c>
      <c r="Z29" s="91">
        <v>0</v>
      </c>
      <c r="AA29" s="91">
        <v>0</v>
      </c>
      <c r="AC29" s="91">
        <v>0</v>
      </c>
      <c r="AD29" s="91">
        <v>0</v>
      </c>
      <c r="AE29" s="91">
        <v>0</v>
      </c>
      <c r="AF29" s="91">
        <v>0</v>
      </c>
      <c r="AG29" s="91">
        <f t="shared" si="3"/>
        <v>0</v>
      </c>
      <c r="AI29" s="91">
        <v>0</v>
      </c>
      <c r="AJ29" s="91">
        <v>0</v>
      </c>
      <c r="AK29" s="91">
        <v>0</v>
      </c>
      <c r="AL29" s="91">
        <v>0</v>
      </c>
      <c r="AM29" s="91">
        <v>0</v>
      </c>
      <c r="AO29" s="91">
        <v>0</v>
      </c>
      <c r="AP29" s="91">
        <v>0</v>
      </c>
      <c r="AQ29" s="91"/>
      <c r="AR29" s="91"/>
      <c r="AS29" s="91">
        <f t="shared" si="2"/>
        <v>0</v>
      </c>
    </row>
    <row r="30" spans="1:45" ht="15.75" x14ac:dyDescent="0.25">
      <c r="A30" s="110" t="str">
        <f>IF(Menu!$D$7="Português/Portuguese",B30,C30)</f>
        <v>Lucro/Prejuízo Consolidado do Período</v>
      </c>
      <c r="B30" s="110" t="s">
        <v>147</v>
      </c>
      <c r="C30" s="110" t="s">
        <v>146</v>
      </c>
      <c r="E30" s="101">
        <v>401240</v>
      </c>
      <c r="F30" s="101">
        <v>820001</v>
      </c>
      <c r="G30" s="101">
        <v>1467481</v>
      </c>
      <c r="H30" s="101">
        <v>1341988</v>
      </c>
      <c r="I30" s="101">
        <v>4030710</v>
      </c>
      <c r="K30" s="101">
        <v>2362661</v>
      </c>
      <c r="L30" s="101">
        <v>2500640</v>
      </c>
      <c r="M30" s="101">
        <v>804064</v>
      </c>
      <c r="N30" s="101">
        <v>703602</v>
      </c>
      <c r="O30" s="101">
        <v>6370966</v>
      </c>
      <c r="Q30" s="101">
        <v>739141</v>
      </c>
      <c r="R30" s="101">
        <v>825721</v>
      </c>
      <c r="S30" s="101">
        <v>514057</v>
      </c>
      <c r="T30" s="101">
        <v>871379</v>
      </c>
      <c r="U30" s="101">
        <v>2950298</v>
      </c>
      <c r="W30" s="101">
        <v>515797</v>
      </c>
      <c r="X30" s="101">
        <v>494180</v>
      </c>
      <c r="Y30" s="101">
        <v>1199928</v>
      </c>
      <c r="Z30" s="101">
        <v>1358831</v>
      </c>
      <c r="AA30" s="101">
        <v>3568737</v>
      </c>
      <c r="AC30" s="101">
        <v>557938</v>
      </c>
      <c r="AD30" s="101">
        <v>1507442</v>
      </c>
      <c r="AE30" s="101">
        <v>446306</v>
      </c>
      <c r="AF30" s="101">
        <v>2016034</v>
      </c>
      <c r="AG30" s="101">
        <f t="shared" si="3"/>
        <v>4527720</v>
      </c>
      <c r="AI30" s="101">
        <v>-357288</v>
      </c>
      <c r="AJ30" s="101">
        <v>115767</v>
      </c>
      <c r="AK30" s="101">
        <v>696267</v>
      </c>
      <c r="AL30" s="101">
        <v>1194414</v>
      </c>
      <c r="AM30" s="101">
        <v>1649159</v>
      </c>
      <c r="AO30" s="101">
        <v>222127</v>
      </c>
      <c r="AP30" s="101">
        <v>219395</v>
      </c>
      <c r="AQ30" s="101"/>
      <c r="AR30" s="101"/>
      <c r="AS30" s="101">
        <f t="shared" si="2"/>
        <v>441522</v>
      </c>
    </row>
    <row r="31" spans="1:45" ht="17.25" x14ac:dyDescent="0.3">
      <c r="A31" s="89" t="str">
        <f>IF(Menu!$D$7="Português/Portuguese",B31,C31)</f>
        <v>Atribuído a Sócios da Empresa Controladora</v>
      </c>
      <c r="B31" s="89" t="s">
        <v>145</v>
      </c>
      <c r="C31" s="89" t="s">
        <v>144</v>
      </c>
      <c r="E31" s="91">
        <v>401240</v>
      </c>
      <c r="F31" s="91">
        <v>820001</v>
      </c>
      <c r="G31" s="91">
        <v>1467481</v>
      </c>
      <c r="H31" s="91">
        <v>1341988</v>
      </c>
      <c r="I31" s="91">
        <v>4030710</v>
      </c>
      <c r="K31" s="91">
        <v>2362661</v>
      </c>
      <c r="L31" s="91">
        <v>2500640</v>
      </c>
      <c r="M31" s="91">
        <v>804064</v>
      </c>
      <c r="N31" s="91">
        <v>703602</v>
      </c>
      <c r="O31" s="91">
        <v>6370966</v>
      </c>
      <c r="Q31" s="91">
        <v>739141</v>
      </c>
      <c r="R31" s="91">
        <v>825721</v>
      </c>
      <c r="S31" s="91">
        <v>514057</v>
      </c>
      <c r="T31" s="91">
        <v>871379</v>
      </c>
      <c r="U31" s="91">
        <v>2950298</v>
      </c>
      <c r="W31" s="91">
        <v>515797</v>
      </c>
      <c r="X31" s="91">
        <v>494180</v>
      </c>
      <c r="Y31" s="91">
        <v>1199928</v>
      </c>
      <c r="Z31" s="91">
        <v>1358831</v>
      </c>
      <c r="AA31" s="91">
        <v>3568737</v>
      </c>
      <c r="AC31" s="91">
        <v>557938</v>
      </c>
      <c r="AD31" s="91">
        <v>1507442</v>
      </c>
      <c r="AE31" s="91">
        <v>446306</v>
      </c>
      <c r="AF31" s="91">
        <v>2016034</v>
      </c>
      <c r="AG31" s="91">
        <f t="shared" si="3"/>
        <v>4527720</v>
      </c>
      <c r="AI31" s="91">
        <v>357316</v>
      </c>
      <c r="AJ31" s="91">
        <v>115858</v>
      </c>
      <c r="AK31" s="91">
        <v>649466</v>
      </c>
      <c r="AL31" s="91">
        <v>1176473</v>
      </c>
      <c r="AM31" s="91">
        <v>1649647</v>
      </c>
      <c r="AO31" s="91">
        <v>222368</v>
      </c>
      <c r="AP31" s="91">
        <v>219646</v>
      </c>
      <c r="AQ31" s="91"/>
      <c r="AR31" s="91"/>
      <c r="AS31" s="91">
        <f t="shared" si="2"/>
        <v>442014</v>
      </c>
    </row>
    <row r="32" spans="1:45" ht="17.25" x14ac:dyDescent="0.3">
      <c r="A32" s="89" t="str">
        <f>IF(Menu!$D$7="Português/Portuguese",B32,C32)</f>
        <v>Atribuído a Sócios Não Controladores</v>
      </c>
      <c r="B32" s="89" t="s">
        <v>143</v>
      </c>
      <c r="C32" s="89" t="s">
        <v>142</v>
      </c>
      <c r="E32" s="91">
        <v>0</v>
      </c>
      <c r="F32" s="91">
        <v>0</v>
      </c>
      <c r="G32" s="91">
        <v>0</v>
      </c>
      <c r="H32" s="91">
        <v>0</v>
      </c>
      <c r="I32" s="91">
        <v>0</v>
      </c>
      <c r="K32" s="91">
        <v>0</v>
      </c>
      <c r="L32" s="91">
        <v>0</v>
      </c>
      <c r="M32" s="91">
        <v>0</v>
      </c>
      <c r="N32" s="91">
        <v>0</v>
      </c>
      <c r="O32" s="91">
        <v>0</v>
      </c>
      <c r="Q32" s="91">
        <v>0</v>
      </c>
      <c r="R32" s="91">
        <v>0</v>
      </c>
      <c r="S32" s="91">
        <v>0</v>
      </c>
      <c r="T32" s="91">
        <v>0</v>
      </c>
      <c r="U32" s="91">
        <v>0</v>
      </c>
      <c r="W32" s="91">
        <v>0</v>
      </c>
      <c r="X32" s="91">
        <v>0</v>
      </c>
      <c r="Y32" s="91">
        <v>0</v>
      </c>
      <c r="Z32" s="91">
        <v>0</v>
      </c>
      <c r="AA32" s="91">
        <v>0</v>
      </c>
      <c r="AC32" s="91">
        <v>0</v>
      </c>
      <c r="AD32" s="91">
        <v>0</v>
      </c>
      <c r="AE32" s="91">
        <v>0</v>
      </c>
      <c r="AF32" s="91">
        <v>0</v>
      </c>
      <c r="AG32" s="91">
        <f t="shared" si="3"/>
        <v>0</v>
      </c>
      <c r="AI32" s="91">
        <v>-28</v>
      </c>
      <c r="AJ32" s="91">
        <v>-91</v>
      </c>
      <c r="AK32" s="91">
        <v>-198</v>
      </c>
      <c r="AL32" s="91">
        <v>-369</v>
      </c>
      <c r="AM32" s="91">
        <v>-488</v>
      </c>
      <c r="AO32" s="91">
        <v>-241</v>
      </c>
      <c r="AP32" s="91">
        <v>-251</v>
      </c>
      <c r="AQ32" s="91"/>
      <c r="AR32" s="91"/>
      <c r="AS32" s="91">
        <f t="shared" si="2"/>
        <v>-492</v>
      </c>
    </row>
    <row r="33" spans="1:45" s="123" customFormat="1" ht="15.75" x14ac:dyDescent="0.25">
      <c r="A33" s="122" t="str">
        <f>IF(Menu!$D$7="Português/Portuguese",B33,C33)</f>
        <v>Lucro Básico por Ação ON</v>
      </c>
      <c r="B33" s="122" t="s">
        <v>141</v>
      </c>
      <c r="C33" s="122" t="s">
        <v>140</v>
      </c>
      <c r="E33" s="124">
        <v>2.21678</v>
      </c>
      <c r="F33" s="124">
        <v>4.5303399999999998</v>
      </c>
      <c r="G33" s="124">
        <v>8.1075400000000002</v>
      </c>
      <c r="H33" s="124">
        <v>7.4142200000000003</v>
      </c>
      <c r="I33" s="124">
        <v>22.268879999999999</v>
      </c>
      <c r="K33" s="124">
        <v>0.42665999999999998</v>
      </c>
      <c r="L33" s="124">
        <v>0.4516</v>
      </c>
      <c r="M33" s="124">
        <v>0.14435999999999999</v>
      </c>
      <c r="N33" s="124">
        <v>0.12422999999999984</v>
      </c>
      <c r="O33" s="124">
        <v>1.1468499999999999</v>
      </c>
      <c r="Q33" s="124">
        <v>0.13305</v>
      </c>
      <c r="R33" s="124">
        <v>0.15053</v>
      </c>
      <c r="S33" s="124">
        <v>3.7900000000000003E-2</v>
      </c>
      <c r="T33" s="124">
        <v>0.21636</v>
      </c>
      <c r="U33" s="124">
        <v>0.53783999999999998</v>
      </c>
      <c r="W33" s="124">
        <v>9.4030000000000002E-2</v>
      </c>
      <c r="X33" s="124">
        <v>9.0090000000000003E-2</v>
      </c>
      <c r="Y33" s="124">
        <v>0.21875</v>
      </c>
      <c r="Z33" s="124">
        <v>0.2477</v>
      </c>
      <c r="AA33" s="124">
        <v>0.65056999999999998</v>
      </c>
      <c r="AC33" s="124">
        <v>0.10170999999999999</v>
      </c>
      <c r="AD33" s="124">
        <v>0.27481</v>
      </c>
      <c r="AE33" s="124">
        <v>8.2159999999999997E-2</v>
      </c>
      <c r="AF33" s="124">
        <v>0.36897000000000002</v>
      </c>
      <c r="AG33" s="124">
        <v>0.82765</v>
      </c>
      <c r="AI33" s="124">
        <v>-6.5310000000000007E-2</v>
      </c>
      <c r="AJ33" s="124">
        <v>2.121E-2</v>
      </c>
      <c r="AK33" s="124">
        <v>0.12820999999999999</v>
      </c>
      <c r="AL33" s="124">
        <v>0.21958</v>
      </c>
      <c r="AM33" s="125">
        <f t="shared" ref="AM33" si="4">SUM(AI33:AL33)</f>
        <v>0.30369000000000002</v>
      </c>
      <c r="AO33" s="149">
        <v>4.0559999999999999E-2</v>
      </c>
      <c r="AP33" s="149">
        <v>4.0469999999999999E-2</v>
      </c>
      <c r="AQ33" s="124"/>
      <c r="AR33" s="124"/>
      <c r="AS33" s="125">
        <f t="shared" ref="AS33" si="5">SUM(AO33:AR33)</f>
        <v>8.1029999999999991E-2</v>
      </c>
    </row>
    <row r="34" spans="1:45" ht="15.75" x14ac:dyDescent="0.25">
      <c r="E34" s="114"/>
      <c r="F34" s="114"/>
      <c r="G34" s="114"/>
      <c r="H34" s="114"/>
      <c r="I34" s="114"/>
      <c r="K34" s="114"/>
      <c r="L34" s="114"/>
      <c r="M34" s="114"/>
      <c r="N34" s="114"/>
      <c r="O34" s="114"/>
      <c r="Q34" s="114"/>
      <c r="R34" s="114"/>
      <c r="S34" s="114"/>
      <c r="T34" s="114"/>
      <c r="U34" s="114"/>
      <c r="W34" s="114"/>
      <c r="X34" s="114"/>
      <c r="Y34" s="114"/>
      <c r="Z34" s="114"/>
      <c r="AA34" s="114"/>
      <c r="AC34" s="114"/>
      <c r="AD34" s="114"/>
      <c r="AE34" s="114"/>
      <c r="AF34" s="114"/>
      <c r="AG34" s="149"/>
      <c r="AI34" s="115"/>
      <c r="AJ34" s="115"/>
      <c r="AK34" s="115"/>
      <c r="AL34" s="148"/>
      <c r="AM34" s="114"/>
      <c r="AO34" s="115"/>
      <c r="AP34" s="115"/>
      <c r="AQ34" s="115"/>
      <c r="AR34" s="114"/>
      <c r="AS34" s="115"/>
    </row>
    <row r="35" spans="1:45" ht="18" x14ac:dyDescent="0.25">
      <c r="A35" s="88" t="str">
        <f>IF(Menu!$D$7="Português/Portuguese",B35,C35)</f>
        <v>DRE AJUSTADA - BASE FOB</v>
      </c>
      <c r="B35" s="88" t="s">
        <v>302</v>
      </c>
      <c r="C35" s="88" t="s">
        <v>303</v>
      </c>
      <c r="E35" s="88"/>
      <c r="F35" s="88"/>
      <c r="G35" s="88"/>
      <c r="H35" s="88"/>
      <c r="I35" s="88"/>
      <c r="K35" s="88"/>
      <c r="L35" s="88"/>
      <c r="M35" s="88"/>
      <c r="N35" s="88"/>
      <c r="O35" s="88"/>
      <c r="Q35" s="88"/>
      <c r="R35" s="88"/>
      <c r="S35" s="88"/>
      <c r="T35" s="88"/>
      <c r="U35" s="88"/>
      <c r="W35" s="88"/>
      <c r="X35" s="88"/>
      <c r="Y35" s="88"/>
      <c r="Z35" s="88"/>
      <c r="AA35" s="88"/>
      <c r="AC35" s="88"/>
      <c r="AD35" s="88"/>
      <c r="AE35" s="88"/>
      <c r="AF35" s="88"/>
      <c r="AG35" s="88"/>
      <c r="AI35" s="88"/>
      <c r="AJ35" s="88"/>
      <c r="AK35" s="88"/>
      <c r="AL35" s="88"/>
      <c r="AM35" s="88"/>
      <c r="AO35" s="88"/>
      <c r="AP35" s="88"/>
      <c r="AQ35" s="88"/>
      <c r="AR35" s="88"/>
      <c r="AS35" s="88"/>
    </row>
    <row r="36" spans="1:45" s="87" customFormat="1" ht="20.100000000000001" customHeight="1" thickBot="1" x14ac:dyDescent="0.3">
      <c r="A36" s="109" t="str">
        <f>IF(Menu!$D$7="Português/Portuguese",B36,C36)</f>
        <v>Valores em R$ ('000)</v>
      </c>
      <c r="B36" s="109" t="s">
        <v>139</v>
      </c>
      <c r="C36" s="109" t="s">
        <v>138</v>
      </c>
      <c r="D36" s="85"/>
      <c r="E36" s="20" t="str">
        <f>E5</f>
        <v>1T20</v>
      </c>
      <c r="F36" s="20" t="str">
        <f t="shared" ref="F36:H36" si="6">F5</f>
        <v>2T20</v>
      </c>
      <c r="G36" s="20" t="str">
        <f t="shared" si="6"/>
        <v>3T20</v>
      </c>
      <c r="H36" s="20" t="str">
        <f t="shared" si="6"/>
        <v>4T20</v>
      </c>
      <c r="I36" s="19">
        <f>I5</f>
        <v>2020</v>
      </c>
      <c r="J36" s="85"/>
      <c r="K36" s="20" t="str">
        <f>K5</f>
        <v>1T21</v>
      </c>
      <c r="L36" s="20" t="str">
        <f t="shared" ref="L36:N36" si="7">L5</f>
        <v>2T21</v>
      </c>
      <c r="M36" s="20" t="str">
        <f t="shared" si="7"/>
        <v>3T21</v>
      </c>
      <c r="N36" s="20" t="str">
        <f t="shared" si="7"/>
        <v>4T21</v>
      </c>
      <c r="O36" s="19">
        <f>O5</f>
        <v>2021</v>
      </c>
      <c r="P36" s="85"/>
      <c r="Q36" s="20" t="str">
        <f>Q5</f>
        <v>1T22</v>
      </c>
      <c r="R36" s="20" t="str">
        <f t="shared" ref="R36:T36" si="8">R5</f>
        <v>2T22</v>
      </c>
      <c r="S36" s="20" t="str">
        <f t="shared" si="8"/>
        <v>3T22</v>
      </c>
      <c r="T36" s="20" t="str">
        <f t="shared" si="8"/>
        <v>4T22</v>
      </c>
      <c r="U36" s="19">
        <f>U5</f>
        <v>2022</v>
      </c>
      <c r="V36" s="85"/>
      <c r="W36" s="20" t="str">
        <f>W5</f>
        <v>1T23</v>
      </c>
      <c r="X36" s="20" t="str">
        <f t="shared" ref="X36:Z36" si="9">X5</f>
        <v>2T23</v>
      </c>
      <c r="Y36" s="20" t="str">
        <f t="shared" si="9"/>
        <v>3T23</v>
      </c>
      <c r="Z36" s="20" t="str">
        <f t="shared" si="9"/>
        <v>4T23</v>
      </c>
      <c r="AA36" s="19">
        <f>AA5</f>
        <v>2023</v>
      </c>
      <c r="AB36" s="85"/>
      <c r="AC36" s="20" t="str">
        <f>AC5</f>
        <v>1T24</v>
      </c>
      <c r="AD36" s="20" t="str">
        <f t="shared" ref="AD36:AF36" si="10">AD5</f>
        <v>2T24</v>
      </c>
      <c r="AE36" s="20" t="str">
        <f t="shared" si="10"/>
        <v>3T24</v>
      </c>
      <c r="AF36" s="20" t="str">
        <f t="shared" si="10"/>
        <v>4T24</v>
      </c>
      <c r="AG36" s="19">
        <f>AG5</f>
        <v>2024</v>
      </c>
      <c r="AH36" s="85"/>
      <c r="AI36" s="20" t="str">
        <f>AI5</f>
        <v>1T25</v>
      </c>
      <c r="AJ36" s="20" t="str">
        <f t="shared" ref="AJ36:AL36" si="11">AJ5</f>
        <v>2T25</v>
      </c>
      <c r="AK36" s="20" t="str">
        <f t="shared" si="11"/>
        <v>3T25</v>
      </c>
      <c r="AL36" s="20" t="str">
        <f t="shared" si="11"/>
        <v>4T25</v>
      </c>
      <c r="AM36" s="19">
        <f>AM5</f>
        <v>2025</v>
      </c>
      <c r="AN36" s="85"/>
      <c r="AO36" s="20" t="str">
        <f>AO5</f>
        <v>1T26</v>
      </c>
      <c r="AP36" s="20" t="s">
        <v>443</v>
      </c>
      <c r="AQ36" s="20" t="str">
        <f t="shared" ref="AQ36:AS36" si="12">AQ5</f>
        <v>3T26</v>
      </c>
      <c r="AR36" s="20" t="str">
        <f t="shared" si="12"/>
        <v>4T26</v>
      </c>
      <c r="AS36" s="19">
        <f t="shared" si="12"/>
        <v>2026</v>
      </c>
    </row>
    <row r="37" spans="1:45" ht="17.25" x14ac:dyDescent="0.3">
      <c r="A37" s="111" t="str">
        <f>IF(Menu!$D$7="Português/Portuguese",B37,C37)</f>
        <v xml:space="preserve">Receita Líquida de Vendas </v>
      </c>
      <c r="B37" s="111" t="s">
        <v>186</v>
      </c>
      <c r="C37" s="111" t="s">
        <v>284</v>
      </c>
      <c r="E37" s="91">
        <v>1821464</v>
      </c>
      <c r="F37" s="91">
        <v>2877230</v>
      </c>
      <c r="G37" s="91">
        <v>4238829</v>
      </c>
      <c r="H37" s="91">
        <v>4852008</v>
      </c>
      <c r="I37" s="91">
        <v>13789531</v>
      </c>
      <c r="K37" s="91">
        <v>5638570</v>
      </c>
      <c r="L37" s="91">
        <v>7693326</v>
      </c>
      <c r="M37" s="91">
        <v>3057587</v>
      </c>
      <c r="N37" s="91">
        <v>2650386</v>
      </c>
      <c r="O37" s="91">
        <v>19039869</v>
      </c>
      <c r="Q37" s="91">
        <v>3891712</v>
      </c>
      <c r="R37" s="91">
        <v>2679299</v>
      </c>
      <c r="S37" s="91">
        <v>2723538</v>
      </c>
      <c r="T37" s="91">
        <v>3978016</v>
      </c>
      <c r="U37" s="91">
        <v>13272565</v>
      </c>
      <c r="W37" s="91">
        <v>4514331</v>
      </c>
      <c r="X37" s="91">
        <v>4014012</v>
      </c>
      <c r="Y37" s="91">
        <v>4839552</v>
      </c>
      <c r="Z37" s="91">
        <v>5512531</v>
      </c>
      <c r="AA37" s="91">
        <v>18880426</v>
      </c>
      <c r="AC37" s="91">
        <v>3510759</v>
      </c>
      <c r="AD37" s="91">
        <v>4189057</v>
      </c>
      <c r="AE37" s="91">
        <v>3966836</v>
      </c>
      <c r="AF37" s="91">
        <v>4829665</v>
      </c>
      <c r="AG37" s="91">
        <v>16496317</v>
      </c>
      <c r="AI37" s="91">
        <v>3911382</v>
      </c>
      <c r="AJ37" s="91">
        <v>4038202</v>
      </c>
      <c r="AK37" s="91">
        <v>5146073</v>
      </c>
      <c r="AL37" s="91">
        <v>4929465</v>
      </c>
      <c r="AM37" s="91">
        <v>18025121</v>
      </c>
      <c r="AO37" s="91">
        <v>3704133</v>
      </c>
      <c r="AP37" s="91">
        <v>3613204</v>
      </c>
      <c r="AQ37" s="91"/>
      <c r="AR37" s="91"/>
      <c r="AS37" s="91">
        <f t="shared" ref="AS37:AS53" si="13">SUM(AO37:AR37)</f>
        <v>7317337</v>
      </c>
    </row>
    <row r="38" spans="1:45" ht="17.25" x14ac:dyDescent="0.3">
      <c r="A38" s="111" t="str">
        <f>IF(Menu!$D$7="Português/Portuguese",B38,C38)</f>
        <v>Frete e seguros marítimo</v>
      </c>
      <c r="B38" s="111" t="s">
        <v>273</v>
      </c>
      <c r="C38" s="111" t="s">
        <v>285</v>
      </c>
      <c r="E38" s="91">
        <v>-183597</v>
      </c>
      <c r="F38" s="91">
        <v>-204140</v>
      </c>
      <c r="G38" s="91">
        <v>-308559</v>
      </c>
      <c r="H38" s="91">
        <v>-336110</v>
      </c>
      <c r="I38" s="91">
        <v>-1032402</v>
      </c>
      <c r="K38" s="91">
        <v>-165049</v>
      </c>
      <c r="L38" s="91">
        <v>-348618</v>
      </c>
      <c r="M38" s="91">
        <v>-274900</v>
      </c>
      <c r="N38" s="91">
        <v>-269510</v>
      </c>
      <c r="O38" s="91">
        <v>-1058077</v>
      </c>
      <c r="Q38" s="91">
        <v>-53385</v>
      </c>
      <c r="R38" s="91">
        <v>-92553</v>
      </c>
      <c r="S38" s="91">
        <v>-214984</v>
      </c>
      <c r="T38" s="91">
        <v>-465630</v>
      </c>
      <c r="U38" s="91">
        <v>-826552</v>
      </c>
      <c r="W38" s="91">
        <v>-399599</v>
      </c>
      <c r="X38" s="91">
        <v>-403091</v>
      </c>
      <c r="Y38" s="91">
        <v>-529928</v>
      </c>
      <c r="Z38" s="91">
        <v>-494117</v>
      </c>
      <c r="AA38" s="91">
        <v>-1826735</v>
      </c>
      <c r="AC38" s="91">
        <v>-705951</v>
      </c>
      <c r="AD38" s="91">
        <v>-865417</v>
      </c>
      <c r="AE38" s="91">
        <v>-993603</v>
      </c>
      <c r="AF38" s="91">
        <v>-922305</v>
      </c>
      <c r="AG38" s="91">
        <v>-3487276</v>
      </c>
      <c r="AI38" s="91">
        <v>-499200</v>
      </c>
      <c r="AJ38" s="91">
        <v>-631992</v>
      </c>
      <c r="AK38" s="91">
        <v>-740998</v>
      </c>
      <c r="AL38" s="91">
        <v>-820112</v>
      </c>
      <c r="AM38" s="91">
        <v>-2692302</v>
      </c>
      <c r="AO38" s="91">
        <f>AO39-AO37</f>
        <v>-538689</v>
      </c>
      <c r="AP38" s="91">
        <v>-745736</v>
      </c>
      <c r="AQ38" s="91"/>
      <c r="AR38" s="91"/>
      <c r="AS38" s="91">
        <f t="shared" si="13"/>
        <v>-1284425</v>
      </c>
    </row>
    <row r="39" spans="1:45" ht="15.75" x14ac:dyDescent="0.25">
      <c r="A39" s="110" t="str">
        <f>IF(Menu!$D$7="Português/Portuguese",B39,C39)</f>
        <v>Receita Líquida de Vendas - BASE FOB</v>
      </c>
      <c r="B39" s="110" t="s">
        <v>274</v>
      </c>
      <c r="C39" s="110" t="s">
        <v>286</v>
      </c>
      <c r="E39" s="101">
        <v>1637867</v>
      </c>
      <c r="F39" s="101">
        <v>2673090</v>
      </c>
      <c r="G39" s="101">
        <v>3930270</v>
      </c>
      <c r="H39" s="101">
        <v>4515898</v>
      </c>
      <c r="I39" s="101">
        <v>12757129</v>
      </c>
      <c r="K39" s="101">
        <v>5473521</v>
      </c>
      <c r="L39" s="101">
        <v>7344708</v>
      </c>
      <c r="M39" s="101">
        <v>2782687</v>
      </c>
      <c r="N39" s="101">
        <v>2380876</v>
      </c>
      <c r="O39" s="101">
        <v>17981792</v>
      </c>
      <c r="Q39" s="101">
        <v>3838327</v>
      </c>
      <c r="R39" s="101">
        <v>2586746</v>
      </c>
      <c r="S39" s="101">
        <v>2508554</v>
      </c>
      <c r="T39" s="101">
        <v>3512386</v>
      </c>
      <c r="U39" s="101">
        <v>12446013</v>
      </c>
      <c r="W39" s="101">
        <v>4114732</v>
      </c>
      <c r="X39" s="101">
        <v>3610921</v>
      </c>
      <c r="Y39" s="101">
        <v>4309624</v>
      </c>
      <c r="Z39" s="101">
        <v>5018414</v>
      </c>
      <c r="AA39" s="101">
        <v>17053691</v>
      </c>
      <c r="AC39" s="101">
        <v>2804808</v>
      </c>
      <c r="AD39" s="101">
        <v>3323640</v>
      </c>
      <c r="AE39" s="101">
        <v>2973233</v>
      </c>
      <c r="AF39" s="101">
        <v>3907360</v>
      </c>
      <c r="AG39" s="101">
        <v>13009041</v>
      </c>
      <c r="AI39" s="101">
        <v>3412182</v>
      </c>
      <c r="AJ39" s="101">
        <v>3406210</v>
      </c>
      <c r="AK39" s="101">
        <v>4405075</v>
      </c>
      <c r="AL39" s="101">
        <v>4109352</v>
      </c>
      <c r="AM39" s="101">
        <v>15332819</v>
      </c>
      <c r="AO39" s="101">
        <v>3165444</v>
      </c>
      <c r="AP39" s="101">
        <v>2867468</v>
      </c>
      <c r="AQ39" s="101"/>
      <c r="AR39" s="101"/>
      <c r="AS39" s="101">
        <f t="shared" si="13"/>
        <v>6032912</v>
      </c>
    </row>
    <row r="40" spans="1:45" ht="17.25" x14ac:dyDescent="0.3">
      <c r="A40" s="116" t="str">
        <f>IF(Menu!$D$7="Português/Portuguese",B40,C40)</f>
        <v>Custo dos Produtos Vendidos</v>
      </c>
      <c r="B40" s="116" t="s">
        <v>183</v>
      </c>
      <c r="C40" s="116" t="s">
        <v>287</v>
      </c>
      <c r="E40" s="117">
        <v>-807177</v>
      </c>
      <c r="F40" s="117">
        <v>-1350311</v>
      </c>
      <c r="G40" s="117">
        <v>-1304771</v>
      </c>
      <c r="H40" s="117">
        <v>-2018349</v>
      </c>
      <c r="I40" s="117">
        <v>-5480608</v>
      </c>
      <c r="K40" s="117">
        <v>-1907069</v>
      </c>
      <c r="L40" s="117">
        <v>-2427624</v>
      </c>
      <c r="M40" s="117">
        <v>-1998327</v>
      </c>
      <c r="N40" s="117">
        <v>-1675245</v>
      </c>
      <c r="O40" s="117">
        <v>-8008265</v>
      </c>
      <c r="Q40" s="117">
        <v>-1603727</v>
      </c>
      <c r="R40" s="117">
        <v>-1835234</v>
      </c>
      <c r="S40" s="117">
        <v>-1777669</v>
      </c>
      <c r="T40" s="117">
        <v>-1866636</v>
      </c>
      <c r="U40" s="117">
        <v>-7083266</v>
      </c>
      <c r="W40" s="117">
        <v>-2227464</v>
      </c>
      <c r="X40" s="117">
        <v>-2622510</v>
      </c>
      <c r="Y40" s="117">
        <v>-2523535</v>
      </c>
      <c r="Z40" s="117">
        <v>-2465549</v>
      </c>
      <c r="AA40" s="117">
        <v>-9839057</v>
      </c>
      <c r="AC40" s="117">
        <v>-1890164</v>
      </c>
      <c r="AD40" s="117">
        <v>-1946282</v>
      </c>
      <c r="AE40" s="117">
        <v>-2063350</v>
      </c>
      <c r="AF40" s="117">
        <v>-2125231</v>
      </c>
      <c r="AG40" s="117">
        <v>-8025027</v>
      </c>
      <c r="AI40" s="117">
        <v>-2237701</v>
      </c>
      <c r="AJ40" s="117">
        <v>-2377876</v>
      </c>
      <c r="AK40" s="117">
        <v>-2645483</v>
      </c>
      <c r="AL40" s="117">
        <v>-2589518</v>
      </c>
      <c r="AM40" s="117">
        <v>-9850577</v>
      </c>
      <c r="AO40" s="117">
        <f>SUM(AO41:AO42)</f>
        <v>-2034883.5797839002</v>
      </c>
      <c r="AP40" s="117">
        <v>-2105849.3012485993</v>
      </c>
      <c r="AQ40" s="117"/>
      <c r="AR40" s="117"/>
      <c r="AS40" s="117">
        <f t="shared" si="13"/>
        <v>-4140732.8810324995</v>
      </c>
    </row>
    <row r="41" spans="1:45" ht="17.25" x14ac:dyDescent="0.3">
      <c r="A41" s="111" t="str">
        <f>IF(Menu!$D$7="Português/Portuguese",B41,C41)</f>
        <v>CPV, sem Depreciação</v>
      </c>
      <c r="B41" s="111" t="s">
        <v>275</v>
      </c>
      <c r="C41" s="111" t="s">
        <v>288</v>
      </c>
      <c r="E41" s="91">
        <v>-664920</v>
      </c>
      <c r="F41" s="91">
        <v>-1211403</v>
      </c>
      <c r="G41" s="91">
        <v>-140380</v>
      </c>
      <c r="H41" s="91">
        <v>-1251003</v>
      </c>
      <c r="I41" s="91">
        <v>-4267706</v>
      </c>
      <c r="K41" s="91">
        <v>-1760049</v>
      </c>
      <c r="L41" s="91">
        <v>-2254686</v>
      </c>
      <c r="M41" s="91">
        <v>-1810167</v>
      </c>
      <c r="N41" s="91">
        <v>-1451228</v>
      </c>
      <c r="O41" s="91">
        <v>-7276130</v>
      </c>
      <c r="Q41" s="91">
        <v>-1367420</v>
      </c>
      <c r="R41" s="91">
        <v>-1598279</v>
      </c>
      <c r="S41" s="91">
        <v>-1530791</v>
      </c>
      <c r="T41" s="91">
        <v>-1597180</v>
      </c>
      <c r="U41" s="91">
        <v>-6093670</v>
      </c>
      <c r="W41" s="91">
        <v>-1977519</v>
      </c>
      <c r="X41" s="91">
        <v>-2375279</v>
      </c>
      <c r="Y41" s="91">
        <v>-2261279</v>
      </c>
      <c r="Z41" s="91">
        <v>-2192820</v>
      </c>
      <c r="AA41" s="91">
        <v>-8806896</v>
      </c>
      <c r="AC41" s="91">
        <v>-1608726</v>
      </c>
      <c r="AD41" s="91">
        <v>-1653593</v>
      </c>
      <c r="AE41" s="91">
        <v>-1776498</v>
      </c>
      <c r="AF41" s="91">
        <v>-1843240</v>
      </c>
      <c r="AG41" s="91">
        <v>-6882057</v>
      </c>
      <c r="AI41" s="91">
        <v>-1932029</v>
      </c>
      <c r="AJ41" s="91">
        <v>-2065693</v>
      </c>
      <c r="AK41" s="91">
        <v>-2330003</v>
      </c>
      <c r="AL41" s="91">
        <v>-2272791</v>
      </c>
      <c r="AM41" s="91">
        <v>-8600517</v>
      </c>
      <c r="AO41" s="91">
        <v>-1678660.5487839002</v>
      </c>
      <c r="AP41" s="91">
        <v>-1747745.3012485993</v>
      </c>
      <c r="AQ41" s="91"/>
      <c r="AR41" s="91"/>
      <c r="AS41" s="91">
        <f t="shared" si="13"/>
        <v>-3426405.8500324995</v>
      </c>
    </row>
    <row r="42" spans="1:45" ht="17.25" x14ac:dyDescent="0.3">
      <c r="A42" s="111" t="str">
        <f>IF(Menu!$D$7="Português/Portuguese",B42,C42)</f>
        <v>Depreciação</v>
      </c>
      <c r="B42" s="111" t="s">
        <v>276</v>
      </c>
      <c r="C42" s="111" t="s">
        <v>289</v>
      </c>
      <c r="E42" s="91">
        <v>-142257</v>
      </c>
      <c r="F42" s="91">
        <v>-138908</v>
      </c>
      <c r="G42" s="91">
        <v>-164391</v>
      </c>
      <c r="H42" s="91">
        <v>-767346</v>
      </c>
      <c r="I42" s="91">
        <v>-1212902</v>
      </c>
      <c r="K42" s="91">
        <v>-147020</v>
      </c>
      <c r="L42" s="91">
        <v>-172938</v>
      </c>
      <c r="M42" s="91">
        <v>-188160</v>
      </c>
      <c r="N42" s="91">
        <v>-224017</v>
      </c>
      <c r="O42" s="91">
        <v>-732135</v>
      </c>
      <c r="Q42" s="91">
        <v>-236307</v>
      </c>
      <c r="R42" s="91">
        <v>-236955</v>
      </c>
      <c r="S42" s="91">
        <v>-246878</v>
      </c>
      <c r="T42" s="91">
        <v>-269456</v>
      </c>
      <c r="U42" s="91">
        <v>-989596</v>
      </c>
      <c r="W42" s="91">
        <v>-249945</v>
      </c>
      <c r="X42" s="91">
        <v>-247231</v>
      </c>
      <c r="Y42" s="91">
        <v>-262256</v>
      </c>
      <c r="Z42" s="91">
        <v>-272729</v>
      </c>
      <c r="AA42" s="91">
        <v>-1032161</v>
      </c>
      <c r="AC42" s="91">
        <v>-281438</v>
      </c>
      <c r="AD42" s="91">
        <v>-292689</v>
      </c>
      <c r="AE42" s="91">
        <v>-286852</v>
      </c>
      <c r="AF42" s="91">
        <v>-281991</v>
      </c>
      <c r="AG42" s="91">
        <v>-1142970</v>
      </c>
      <c r="AI42" s="91">
        <v>-305671</v>
      </c>
      <c r="AJ42" s="91">
        <v>-312183</v>
      </c>
      <c r="AK42" s="91">
        <v>-315480</v>
      </c>
      <c r="AL42" s="91">
        <v>-316726</v>
      </c>
      <c r="AM42" s="91">
        <v>-1250060</v>
      </c>
      <c r="AO42" s="91">
        <v>-356223.03100000002</v>
      </c>
      <c r="AP42" s="91">
        <v>-358104</v>
      </c>
      <c r="AQ42" s="91"/>
      <c r="AR42" s="91"/>
      <c r="AS42" s="91">
        <f t="shared" si="13"/>
        <v>-714327.03099999996</v>
      </c>
    </row>
    <row r="43" spans="1:45" ht="15.75" x14ac:dyDescent="0.25">
      <c r="A43" s="110" t="str">
        <f>IF(Menu!$D$7="Português/Portuguese",B43,C43)</f>
        <v>Lucro Bruto Ajustado - BASE FOB</v>
      </c>
      <c r="B43" s="110" t="s">
        <v>277</v>
      </c>
      <c r="C43" s="110" t="s">
        <v>290</v>
      </c>
      <c r="E43" s="101">
        <v>830690</v>
      </c>
      <c r="F43" s="101">
        <v>1322779</v>
      </c>
      <c r="G43" s="101">
        <v>2625499</v>
      </c>
      <c r="H43" s="101">
        <v>2497549</v>
      </c>
      <c r="I43" s="101">
        <v>7276521</v>
      </c>
      <c r="K43" s="101">
        <v>3566452</v>
      </c>
      <c r="L43" s="101">
        <v>4917084</v>
      </c>
      <c r="M43" s="101">
        <v>784360</v>
      </c>
      <c r="N43" s="101">
        <v>705631</v>
      </c>
      <c r="O43" s="101">
        <v>9973527</v>
      </c>
      <c r="Q43" s="101">
        <v>2234600</v>
      </c>
      <c r="R43" s="101">
        <v>751512</v>
      </c>
      <c r="S43" s="101">
        <v>730885</v>
      </c>
      <c r="T43" s="101">
        <v>1645750</v>
      </c>
      <c r="U43" s="101">
        <v>5362747</v>
      </c>
      <c r="W43" s="101">
        <v>1887268</v>
      </c>
      <c r="X43" s="101">
        <v>988411</v>
      </c>
      <c r="Y43" s="101">
        <v>1786089</v>
      </c>
      <c r="Z43" s="101">
        <v>2552865</v>
      </c>
      <c r="AA43" s="101">
        <v>7214634</v>
      </c>
      <c r="AC43" s="101">
        <v>914644</v>
      </c>
      <c r="AD43" s="101">
        <v>1377358</v>
      </c>
      <c r="AE43" s="101">
        <v>909883</v>
      </c>
      <c r="AF43" s="101">
        <v>1782129</v>
      </c>
      <c r="AG43" s="101">
        <v>4984014</v>
      </c>
      <c r="AI43" s="101">
        <v>1174481</v>
      </c>
      <c r="AJ43" s="101">
        <v>1028334</v>
      </c>
      <c r="AK43" s="101">
        <v>1759592</v>
      </c>
      <c r="AL43" s="101">
        <v>1519835</v>
      </c>
      <c r="AM43" s="101">
        <v>5482242</v>
      </c>
      <c r="AO43" s="101">
        <f>SUM(AO39:AO40)</f>
        <v>1130560.4202160998</v>
      </c>
      <c r="AP43" s="101">
        <v>761619</v>
      </c>
      <c r="AQ43" s="101"/>
      <c r="AR43" s="101"/>
      <c r="AS43" s="101">
        <f t="shared" si="13"/>
        <v>1892179.4202160998</v>
      </c>
    </row>
    <row r="44" spans="1:45" s="119" customFormat="1" ht="17.25" x14ac:dyDescent="0.3">
      <c r="A44" s="118" t="str">
        <f>IF(Menu!$D$7="Português/Portuguese",B44,C44)</f>
        <v>Margem Bruta Ajustada - BASE FOBB (%)</v>
      </c>
      <c r="B44" s="118" t="s">
        <v>278</v>
      </c>
      <c r="C44" s="118" t="s">
        <v>291</v>
      </c>
      <c r="E44" s="126">
        <v>0.51</v>
      </c>
      <c r="F44" s="126">
        <v>0.49</v>
      </c>
      <c r="G44" s="126">
        <v>0.67</v>
      </c>
      <c r="H44" s="126">
        <v>0.55000000000000004</v>
      </c>
      <c r="I44" s="126">
        <v>0.56999999999999995</v>
      </c>
      <c r="J44" s="127"/>
      <c r="K44" s="126">
        <v>0.65158277459792335</v>
      </c>
      <c r="L44" s="126">
        <v>0.66947304099768157</v>
      </c>
      <c r="M44" s="126">
        <v>0.28187144296142541</v>
      </c>
      <c r="N44" s="126">
        <v>0.29637452769484846</v>
      </c>
      <c r="O44" s="126">
        <v>0.55464588846317431</v>
      </c>
      <c r="P44" s="127"/>
      <c r="Q44" s="126">
        <v>0.58218072613406835</v>
      </c>
      <c r="R44" s="126">
        <v>0.29052407928725899</v>
      </c>
      <c r="S44" s="126">
        <v>0.29135709257205544</v>
      </c>
      <c r="T44" s="126">
        <v>0.46855613249796579</v>
      </c>
      <c r="U44" s="126">
        <v>0.43088071657967897</v>
      </c>
      <c r="V44" s="127"/>
      <c r="W44" s="126">
        <v>0.45866122022041778</v>
      </c>
      <c r="X44" s="126">
        <v>0.27372822612291986</v>
      </c>
      <c r="Y44" s="126">
        <v>0.41444195595717864</v>
      </c>
      <c r="Z44" s="126">
        <v>0.50869956125580706</v>
      </c>
      <c r="AA44" s="126">
        <v>0.4230541059996924</v>
      </c>
      <c r="AB44" s="127"/>
      <c r="AC44" s="126">
        <v>0.32609861352363512</v>
      </c>
      <c r="AD44" s="126">
        <v>0.41441251158368536</v>
      </c>
      <c r="AE44" s="126">
        <v>0.30602478850463449</v>
      </c>
      <c r="AF44" s="126">
        <v>0.45609541992547398</v>
      </c>
      <c r="AG44" s="126">
        <v>0.38311924760633775</v>
      </c>
      <c r="AH44" s="127"/>
      <c r="AI44" s="126">
        <v>0.34420233152862301</v>
      </c>
      <c r="AJ44" s="126">
        <v>0.30189976542843805</v>
      </c>
      <c r="AK44" s="126">
        <f>AK43/AK39</f>
        <v>0.39944654744811381</v>
      </c>
      <c r="AL44" s="126">
        <f>AL43/AL39</f>
        <v>0.36984784949062527</v>
      </c>
      <c r="AM44" s="126">
        <v>0.35754951519352052</v>
      </c>
      <c r="AN44" s="127"/>
      <c r="AO44" s="126">
        <f>AO43/AO39</f>
        <v>0.35715698025809328</v>
      </c>
      <c r="AP44" s="126">
        <f>AP43/AP39</f>
        <v>0.2656068001456337</v>
      </c>
      <c r="AQ44" s="126"/>
      <c r="AR44" s="126"/>
      <c r="AS44" s="126">
        <f>AS43/AS39</f>
        <v>0.31364280138946166</v>
      </c>
    </row>
    <row r="45" spans="1:45" ht="15.75" x14ac:dyDescent="0.25">
      <c r="A45" s="110" t="str">
        <f>IF(Menu!$D$7="Português/Portuguese",B45,C45)</f>
        <v>Despesas de Vendas, Gerais e Administrativas  Ajustada - BASE FOB</v>
      </c>
      <c r="B45" s="110" t="s">
        <v>279</v>
      </c>
      <c r="C45" s="110" t="s">
        <v>297</v>
      </c>
      <c r="E45" s="101">
        <v>-60537</v>
      </c>
      <c r="F45" s="101">
        <v>-70523</v>
      </c>
      <c r="G45" s="101">
        <v>-127371</v>
      </c>
      <c r="H45" s="101">
        <v>-88426</v>
      </c>
      <c r="I45" s="101">
        <v>-346861</v>
      </c>
      <c r="K45" s="101">
        <v>-48831</v>
      </c>
      <c r="L45" s="101">
        <v>-134386</v>
      </c>
      <c r="M45" s="101">
        <v>-61698</v>
      </c>
      <c r="N45" s="101">
        <v>-79432</v>
      </c>
      <c r="O45" s="101">
        <v>-324347</v>
      </c>
      <c r="Q45" s="101">
        <v>-56256</v>
      </c>
      <c r="R45" s="101">
        <v>-81026</v>
      </c>
      <c r="S45" s="101">
        <v>-51736</v>
      </c>
      <c r="T45" s="101">
        <v>-130720</v>
      </c>
      <c r="U45" s="101">
        <v>-319738</v>
      </c>
      <c r="W45" s="101">
        <v>-119080</v>
      </c>
      <c r="X45" s="101">
        <v>-137793</v>
      </c>
      <c r="Y45" s="101">
        <v>-60884</v>
      </c>
      <c r="Z45" s="101">
        <v>-66967</v>
      </c>
      <c r="AA45" s="101">
        <v>-384724</v>
      </c>
      <c r="AC45" s="101">
        <v>-72998</v>
      </c>
      <c r="AD45" s="101">
        <v>-51989</v>
      </c>
      <c r="AE45" s="101">
        <v>-58260</v>
      </c>
      <c r="AF45" s="101">
        <v>-49269</v>
      </c>
      <c r="AG45" s="101">
        <v>-232516</v>
      </c>
      <c r="AI45" s="101">
        <v>-57571</v>
      </c>
      <c r="AJ45" s="101">
        <v>-76315</v>
      </c>
      <c r="AK45" s="101">
        <f>SUM(AK46:AK47)</f>
        <v>-86621</v>
      </c>
      <c r="AL45" s="101">
        <f>SUM(AL46:AL47)</f>
        <v>-83476</v>
      </c>
      <c r="AM45" s="101">
        <v>-303983</v>
      </c>
      <c r="AO45" s="101">
        <f>SUM(AO46:AO47)</f>
        <v>-67417.371570000192</v>
      </c>
      <c r="AP45" s="101">
        <v>-102139</v>
      </c>
      <c r="AQ45" s="101"/>
      <c r="AR45" s="101"/>
      <c r="AS45" s="101">
        <f t="shared" si="13"/>
        <v>-169556.37157000019</v>
      </c>
    </row>
    <row r="46" spans="1:45" ht="17.25" x14ac:dyDescent="0.3">
      <c r="A46" s="111" t="str">
        <f>IF(Menu!$D$7="Português/Portuguese",B46,C46)</f>
        <v xml:space="preserve">Despesas de Vendas, Gerais e Administrativas  </v>
      </c>
      <c r="B46" s="111" t="s">
        <v>305</v>
      </c>
      <c r="C46" s="111" t="s">
        <v>292</v>
      </c>
      <c r="E46" s="91">
        <v>-244134</v>
      </c>
      <c r="F46" s="91">
        <v>-274663</v>
      </c>
      <c r="G46" s="91">
        <v>-435930</v>
      </c>
      <c r="H46" s="91">
        <v>-424536</v>
      </c>
      <c r="I46" s="91">
        <v>-1379263</v>
      </c>
      <c r="K46" s="91">
        <v>-213880</v>
      </c>
      <c r="L46" s="91">
        <v>-483004</v>
      </c>
      <c r="M46" s="91">
        <v>-336598</v>
      </c>
      <c r="N46" s="91">
        <v>-348942</v>
      </c>
      <c r="O46" s="91">
        <v>-1382424</v>
      </c>
      <c r="Q46" s="91">
        <v>-109641</v>
      </c>
      <c r="R46" s="91">
        <v>-173579</v>
      </c>
      <c r="S46" s="91">
        <v>-266720</v>
      </c>
      <c r="T46" s="91">
        <v>-596350</v>
      </c>
      <c r="U46" s="91">
        <v>-1146290</v>
      </c>
      <c r="W46" s="91">
        <v>-518679</v>
      </c>
      <c r="X46" s="91">
        <v>-540884</v>
      </c>
      <c r="Y46" s="91">
        <v>-590812</v>
      </c>
      <c r="Z46" s="91">
        <v>-561084</v>
      </c>
      <c r="AA46" s="91">
        <v>-2211459</v>
      </c>
      <c r="AC46" s="91">
        <v>-778949</v>
      </c>
      <c r="AD46" s="91">
        <v>-917406</v>
      </c>
      <c r="AE46" s="91">
        <v>-1051863</v>
      </c>
      <c r="AF46" s="91">
        <v>-971574</v>
      </c>
      <c r="AG46" s="91">
        <v>-3719792</v>
      </c>
      <c r="AI46" s="91">
        <v>-556771</v>
      </c>
      <c r="AJ46" s="91">
        <v>-708307</v>
      </c>
      <c r="AK46" s="91">
        <v>-827619</v>
      </c>
      <c r="AL46" s="91">
        <v>-903588</v>
      </c>
      <c r="AM46" s="91">
        <v>-2996285</v>
      </c>
      <c r="AO46" s="91">
        <v>-606106.32051000011</v>
      </c>
      <c r="AP46" s="91">
        <v>-847875</v>
      </c>
      <c r="AQ46" s="91"/>
      <c r="AR46" s="91"/>
      <c r="AS46" s="91">
        <f t="shared" si="13"/>
        <v>-1453981.32051</v>
      </c>
    </row>
    <row r="47" spans="1:45" ht="17.25" x14ac:dyDescent="0.3">
      <c r="A47" s="111" t="str">
        <f>IF(Menu!$D$7="Português/Portuguese",B47,C47)</f>
        <v>Frete e seguros marítimo</v>
      </c>
      <c r="B47" s="111" t="s">
        <v>273</v>
      </c>
      <c r="C47" s="111" t="s">
        <v>293</v>
      </c>
      <c r="E47" s="91">
        <v>183597</v>
      </c>
      <c r="F47" s="91">
        <v>204140</v>
      </c>
      <c r="G47" s="91">
        <v>308559</v>
      </c>
      <c r="H47" s="91">
        <v>336110</v>
      </c>
      <c r="I47" s="91">
        <v>1032402</v>
      </c>
      <c r="K47" s="91">
        <v>165049</v>
      </c>
      <c r="L47" s="91">
        <v>348618</v>
      </c>
      <c r="M47" s="91">
        <v>274900</v>
      </c>
      <c r="N47" s="91">
        <v>269510</v>
      </c>
      <c r="O47" s="91">
        <v>1058077</v>
      </c>
      <c r="Q47" s="91">
        <v>53385</v>
      </c>
      <c r="R47" s="91">
        <v>92553</v>
      </c>
      <c r="S47" s="91">
        <v>214984</v>
      </c>
      <c r="T47" s="91">
        <v>465630</v>
      </c>
      <c r="U47" s="91">
        <v>826552</v>
      </c>
      <c r="W47" s="91">
        <v>399599</v>
      </c>
      <c r="X47" s="91">
        <v>403091</v>
      </c>
      <c r="Y47" s="91">
        <v>529928</v>
      </c>
      <c r="Z47" s="91">
        <v>494117</v>
      </c>
      <c r="AA47" s="91">
        <v>1826735</v>
      </c>
      <c r="AC47" s="91">
        <v>705951</v>
      </c>
      <c r="AD47" s="91">
        <v>865417</v>
      </c>
      <c r="AE47" s="91">
        <v>993603</v>
      </c>
      <c r="AF47" s="91">
        <v>922305</v>
      </c>
      <c r="AG47" s="91">
        <v>3487276</v>
      </c>
      <c r="AI47" s="91">
        <v>499200</v>
      </c>
      <c r="AJ47" s="91">
        <v>631992</v>
      </c>
      <c r="AK47" s="91">
        <v>740998</v>
      </c>
      <c r="AL47" s="91">
        <v>820112</v>
      </c>
      <c r="AM47" s="91">
        <v>2692302</v>
      </c>
      <c r="AO47" s="91">
        <v>538688.94893999991</v>
      </c>
      <c r="AP47" s="91">
        <v>745736</v>
      </c>
      <c r="AQ47" s="91"/>
      <c r="AR47" s="91"/>
      <c r="AS47" s="91">
        <f t="shared" si="13"/>
        <v>1284424.94894</v>
      </c>
    </row>
    <row r="48" spans="1:45" ht="17.25" x14ac:dyDescent="0.3">
      <c r="A48" s="111" t="str">
        <f>IF(Menu!$D$7="Português/Portuguese",B48,C48)</f>
        <v>Outras Receitas (Despesas) Operacionais Líquidas</v>
      </c>
      <c r="B48" s="111" t="s">
        <v>280</v>
      </c>
      <c r="C48" s="111" t="s">
        <v>294</v>
      </c>
      <c r="E48" s="91">
        <v>-176553</v>
      </c>
      <c r="F48" s="91">
        <v>-72066</v>
      </c>
      <c r="G48" s="91">
        <v>-209175</v>
      </c>
      <c r="H48" s="91">
        <v>-218012</v>
      </c>
      <c r="I48" s="91">
        <v>-675806</v>
      </c>
      <c r="K48" s="91">
        <v>-115486</v>
      </c>
      <c r="L48" s="91">
        <v>-335885</v>
      </c>
      <c r="M48" s="91">
        <v>252574</v>
      </c>
      <c r="N48" s="91">
        <v>-72939</v>
      </c>
      <c r="O48" s="91">
        <v>-271737</v>
      </c>
      <c r="Q48" s="91">
        <v>-119691</v>
      </c>
      <c r="R48" s="91">
        <v>-33477</v>
      </c>
      <c r="S48" s="91">
        <v>-41877</v>
      </c>
      <c r="T48" s="91">
        <v>-211956</v>
      </c>
      <c r="U48" s="91">
        <v>-407001</v>
      </c>
      <c r="W48" s="91">
        <v>-633871</v>
      </c>
      <c r="X48" s="91">
        <v>188373</v>
      </c>
      <c r="Y48" s="91">
        <v>-8601</v>
      </c>
      <c r="Z48" s="91">
        <v>-491631</v>
      </c>
      <c r="AA48" s="91">
        <v>-945729</v>
      </c>
      <c r="AC48" s="91">
        <v>-47130</v>
      </c>
      <c r="AD48" s="91">
        <v>350129</v>
      </c>
      <c r="AE48" s="91">
        <v>-61450</v>
      </c>
      <c r="AF48" s="91">
        <v>-207716</v>
      </c>
      <c r="AG48" s="91">
        <v>33833</v>
      </c>
      <c r="AI48" s="91">
        <v>-30273</v>
      </c>
      <c r="AJ48" s="91">
        <v>-93573</v>
      </c>
      <c r="AK48" s="91">
        <v>-109930</v>
      </c>
      <c r="AL48" s="91">
        <v>-159443</v>
      </c>
      <c r="AM48" s="91">
        <v>-393218</v>
      </c>
      <c r="AO48" s="91">
        <v>-136041</v>
      </c>
      <c r="AP48" s="91">
        <v>20510</v>
      </c>
      <c r="AQ48" s="91"/>
      <c r="AR48" s="91"/>
      <c r="AS48" s="91">
        <f t="shared" si="13"/>
        <v>-115531</v>
      </c>
    </row>
    <row r="49" spans="1:45" ht="17.25" x14ac:dyDescent="0.3">
      <c r="A49" s="111" t="str">
        <f>IF(Menu!$D$7="Português/Portuguese",B49,C49)</f>
        <v>Resultado de Equivalência Patrimonial</v>
      </c>
      <c r="B49" s="111" t="s">
        <v>167</v>
      </c>
      <c r="C49" s="111" t="s">
        <v>295</v>
      </c>
      <c r="E49" s="91">
        <v>-20435</v>
      </c>
      <c r="F49" s="91">
        <v>19992</v>
      </c>
      <c r="G49" s="91">
        <v>18440</v>
      </c>
      <c r="H49" s="91">
        <v>30537</v>
      </c>
      <c r="I49" s="91">
        <v>48534</v>
      </c>
      <c r="K49" s="91">
        <v>6742</v>
      </c>
      <c r="L49" s="91">
        <v>26613</v>
      </c>
      <c r="M49" s="91">
        <v>52153</v>
      </c>
      <c r="N49" s="91">
        <v>6547</v>
      </c>
      <c r="O49" s="91">
        <v>92055</v>
      </c>
      <c r="Q49" s="91">
        <v>11042</v>
      </c>
      <c r="R49" s="91">
        <v>26596</v>
      </c>
      <c r="S49" s="91">
        <v>46683</v>
      </c>
      <c r="T49" s="91">
        <v>32241</v>
      </c>
      <c r="U49" s="91">
        <v>116562</v>
      </c>
      <c r="W49" s="91">
        <v>14221</v>
      </c>
      <c r="X49" s="91">
        <v>46017</v>
      </c>
      <c r="Y49" s="91">
        <v>54529</v>
      </c>
      <c r="Z49" s="91">
        <v>37427</v>
      </c>
      <c r="AA49" s="91">
        <v>152194</v>
      </c>
      <c r="AC49" s="91">
        <v>40134</v>
      </c>
      <c r="AD49" s="91">
        <v>46180</v>
      </c>
      <c r="AE49" s="91">
        <v>50289</v>
      </c>
      <c r="AF49" s="91">
        <v>45375</v>
      </c>
      <c r="AG49" s="91">
        <v>181978</v>
      </c>
      <c r="AI49" s="91">
        <v>37042</v>
      </c>
      <c r="AJ49" s="91">
        <v>73730</v>
      </c>
      <c r="AK49" s="91">
        <v>60401</v>
      </c>
      <c r="AL49" s="91">
        <v>54928</v>
      </c>
      <c r="AM49" s="91">
        <v>226102</v>
      </c>
      <c r="AO49" s="91">
        <v>-2975.5651985999998</v>
      </c>
      <c r="AP49" s="91">
        <v>82621</v>
      </c>
      <c r="AQ49" s="91"/>
      <c r="AR49" s="91"/>
      <c r="AS49" s="91">
        <f t="shared" si="13"/>
        <v>79645.434801399999</v>
      </c>
    </row>
    <row r="50" spans="1:45" ht="15.75" x14ac:dyDescent="0.25">
      <c r="A50" s="110" t="str">
        <f>IF(Menu!$D$7="Português/Portuguese",B50,C50)</f>
        <v>Resultado Financeiro Líquido</v>
      </c>
      <c r="B50" s="110" t="s">
        <v>281</v>
      </c>
      <c r="C50" s="110" t="s">
        <v>296</v>
      </c>
      <c r="E50" s="101">
        <v>33978</v>
      </c>
      <c r="F50" s="101">
        <v>-87227</v>
      </c>
      <c r="G50" s="101">
        <v>-95764</v>
      </c>
      <c r="H50" s="101">
        <v>-363378</v>
      </c>
      <c r="I50" s="101">
        <v>-512391</v>
      </c>
      <c r="K50" s="101">
        <v>76060</v>
      </c>
      <c r="L50" s="101">
        <v>-638802</v>
      </c>
      <c r="M50" s="101">
        <v>138278</v>
      </c>
      <c r="N50" s="101">
        <v>159610</v>
      </c>
      <c r="O50" s="101">
        <v>-264854</v>
      </c>
      <c r="Q50" s="101">
        <v>-965014</v>
      </c>
      <c r="R50" s="101">
        <v>568316</v>
      </c>
      <c r="S50" s="101">
        <v>63058</v>
      </c>
      <c r="T50" s="101">
        <v>-438528</v>
      </c>
      <c r="U50" s="101">
        <v>-772168</v>
      </c>
      <c r="W50" s="101">
        <v>-381152</v>
      </c>
      <c r="X50" s="101">
        <v>-506314</v>
      </c>
      <c r="Y50" s="101">
        <v>2757</v>
      </c>
      <c r="Z50" s="101">
        <v>-345107</v>
      </c>
      <c r="AA50" s="101">
        <v>-1229817</v>
      </c>
      <c r="AC50" s="101">
        <v>-44090</v>
      </c>
      <c r="AD50" s="101">
        <v>436411</v>
      </c>
      <c r="AE50" s="101">
        <v>-425231</v>
      </c>
      <c r="AF50" s="101">
        <v>814728</v>
      </c>
      <c r="AG50" s="101">
        <v>781818</v>
      </c>
      <c r="AI50" s="101">
        <v>-1315364</v>
      </c>
      <c r="AJ50" s="101">
        <v>-750058</v>
      </c>
      <c r="AK50" s="101">
        <v>-566628</v>
      </c>
      <c r="AL50" s="101">
        <v>69248</v>
      </c>
      <c r="AM50" s="101">
        <v>-2562801</v>
      </c>
      <c r="AO50" s="101">
        <v>-626008.04899000004</v>
      </c>
      <c r="AP50" s="101">
        <v>-490617</v>
      </c>
      <c r="AQ50" s="101"/>
      <c r="AR50" s="101"/>
      <c r="AS50" s="101">
        <f t="shared" si="13"/>
        <v>-1116625.04899</v>
      </c>
    </row>
    <row r="51" spans="1:45" ht="15.75" x14ac:dyDescent="0.25">
      <c r="A51" s="110" t="str">
        <f>IF(Menu!$D$7="Português/Portuguese",B51,C51)</f>
        <v>Resultado antes do IR e CSLL</v>
      </c>
      <c r="B51" s="110" t="s">
        <v>282</v>
      </c>
      <c r="C51" s="110" t="s">
        <v>298</v>
      </c>
      <c r="E51" s="101">
        <v>607143</v>
      </c>
      <c r="F51" s="101">
        <v>1112955</v>
      </c>
      <c r="G51" s="101">
        <v>2211629</v>
      </c>
      <c r="H51" s="101">
        <v>1858270</v>
      </c>
      <c r="I51" s="101">
        <v>5789997</v>
      </c>
      <c r="K51" s="101">
        <v>3484937</v>
      </c>
      <c r="L51" s="101">
        <v>3834624</v>
      </c>
      <c r="M51" s="101">
        <v>1165667</v>
      </c>
      <c r="N51" s="101">
        <v>719417</v>
      </c>
      <c r="O51" s="101">
        <v>9204644</v>
      </c>
      <c r="Q51" s="101">
        <v>1104681</v>
      </c>
      <c r="R51" s="101">
        <v>1231921</v>
      </c>
      <c r="S51" s="101">
        <v>747013</v>
      </c>
      <c r="T51" s="101">
        <v>896787</v>
      </c>
      <c r="U51" s="101">
        <v>3980402</v>
      </c>
      <c r="W51" s="101">
        <v>767386</v>
      </c>
      <c r="X51" s="101">
        <v>578694</v>
      </c>
      <c r="Y51" s="101">
        <v>1773890</v>
      </c>
      <c r="Z51" s="101">
        <v>1686587</v>
      </c>
      <c r="AA51" s="101">
        <v>4806558</v>
      </c>
      <c r="AC51" s="101">
        <v>790560</v>
      </c>
      <c r="AD51" s="101">
        <v>2158089</v>
      </c>
      <c r="AE51" s="101">
        <v>415231</v>
      </c>
      <c r="AF51" s="101">
        <v>2385247</v>
      </c>
      <c r="AG51" s="101">
        <v>5749127</v>
      </c>
      <c r="AI51" s="101">
        <v>-191685</v>
      </c>
      <c r="AJ51" s="101">
        <v>182119</v>
      </c>
      <c r="AK51" s="101">
        <v>1056815</v>
      </c>
      <c r="AL51" s="101">
        <v>1401093</v>
      </c>
      <c r="AM51" s="101">
        <v>2448341</v>
      </c>
      <c r="AO51" s="101">
        <v>298118</v>
      </c>
      <c r="AP51" s="101">
        <v>271994</v>
      </c>
      <c r="AQ51" s="101"/>
      <c r="AR51" s="101"/>
      <c r="AS51" s="101">
        <f t="shared" si="13"/>
        <v>570112</v>
      </c>
    </row>
    <row r="52" spans="1:45" ht="17.25" x14ac:dyDescent="0.3">
      <c r="A52" s="120" t="str">
        <f>IF(Menu!$D$7="Português/Portuguese",B52,C52)</f>
        <v>IR e CSLL</v>
      </c>
      <c r="B52" s="120" t="s">
        <v>283</v>
      </c>
      <c r="C52" s="120" t="s">
        <v>299</v>
      </c>
      <c r="D52" s="121"/>
      <c r="E52" s="91">
        <v>-205903</v>
      </c>
      <c r="F52" s="91">
        <v>-292954</v>
      </c>
      <c r="G52" s="91">
        <v>-744148</v>
      </c>
      <c r="H52" s="91">
        <v>-516282</v>
      </c>
      <c r="I52" s="91">
        <v>-1759287</v>
      </c>
      <c r="J52" s="91"/>
      <c r="K52" s="91">
        <v>-1122276</v>
      </c>
      <c r="L52" s="91">
        <v>-1333984</v>
      </c>
      <c r="M52" s="91">
        <v>-361603</v>
      </c>
      <c r="N52" s="91">
        <v>-15815</v>
      </c>
      <c r="O52" s="91">
        <v>-2833678</v>
      </c>
      <c r="P52" s="91"/>
      <c r="Q52" s="91">
        <v>-365540</v>
      </c>
      <c r="R52" s="91">
        <v>-406200</v>
      </c>
      <c r="S52" s="91">
        <v>-232956</v>
      </c>
      <c r="T52" s="91">
        <v>-25408</v>
      </c>
      <c r="U52" s="91">
        <v>-1030104</v>
      </c>
      <c r="V52" s="91"/>
      <c r="W52" s="91">
        <v>-251589</v>
      </c>
      <c r="X52" s="91">
        <v>-84514</v>
      </c>
      <c r="Y52" s="91">
        <v>-573962</v>
      </c>
      <c r="Z52" s="91">
        <v>-327756</v>
      </c>
      <c r="AA52" s="91">
        <v>-1237821</v>
      </c>
      <c r="AB52" s="91"/>
      <c r="AC52" s="91">
        <v>-232622</v>
      </c>
      <c r="AD52" s="91">
        <v>-650647</v>
      </c>
      <c r="AE52" s="91">
        <v>31075</v>
      </c>
      <c r="AF52" s="91">
        <v>-369213</v>
      </c>
      <c r="AG52" s="91">
        <v>-1221407</v>
      </c>
      <c r="AH52" s="91"/>
      <c r="AI52" s="91">
        <v>-165603</v>
      </c>
      <c r="AJ52" s="91">
        <v>-66352</v>
      </c>
      <c r="AK52" s="91">
        <v>-360548</v>
      </c>
      <c r="AL52" s="91">
        <v>-206679</v>
      </c>
      <c r="AM52" s="91">
        <v>-799182</v>
      </c>
      <c r="AN52" s="91"/>
      <c r="AO52" s="91">
        <v>-75990.991327499985</v>
      </c>
      <c r="AP52" s="91">
        <v>-52599</v>
      </c>
      <c r="AQ52" s="91"/>
      <c r="AR52" s="91"/>
      <c r="AS52" s="91">
        <f t="shared" si="13"/>
        <v>-128589.99132749999</v>
      </c>
    </row>
    <row r="53" spans="1:45" ht="15.75" x14ac:dyDescent="0.25">
      <c r="A53" s="110" t="str">
        <f>IF(Menu!$D$7="Português/Portuguese",B53,C53)</f>
        <v>Lucro/Prejuízo Consolidado do Período</v>
      </c>
      <c r="B53" s="110" t="s">
        <v>147</v>
      </c>
      <c r="C53" s="110" t="s">
        <v>300</v>
      </c>
      <c r="E53" s="101">
        <v>401240</v>
      </c>
      <c r="F53" s="101">
        <v>820001</v>
      </c>
      <c r="G53" s="101">
        <v>1467481</v>
      </c>
      <c r="H53" s="101">
        <v>1341988</v>
      </c>
      <c r="I53" s="101">
        <v>4030710</v>
      </c>
      <c r="K53" s="101">
        <v>2362661</v>
      </c>
      <c r="L53" s="101">
        <v>2500640</v>
      </c>
      <c r="M53" s="101">
        <v>804064</v>
      </c>
      <c r="N53" s="101">
        <v>703602</v>
      </c>
      <c r="O53" s="101">
        <v>6370966</v>
      </c>
      <c r="Q53" s="101">
        <v>739141</v>
      </c>
      <c r="R53" s="101">
        <v>825721</v>
      </c>
      <c r="S53" s="101">
        <v>514057</v>
      </c>
      <c r="T53" s="101">
        <v>871379</v>
      </c>
      <c r="U53" s="101">
        <v>2950298</v>
      </c>
      <c r="W53" s="101">
        <v>515797</v>
      </c>
      <c r="X53" s="101">
        <v>494180</v>
      </c>
      <c r="Y53" s="101">
        <v>1199928</v>
      </c>
      <c r="Z53" s="101">
        <v>1358831</v>
      </c>
      <c r="AA53" s="101">
        <v>3568737</v>
      </c>
      <c r="AC53" s="101">
        <v>557938</v>
      </c>
      <c r="AD53" s="101">
        <v>1507442</v>
      </c>
      <c r="AE53" s="101">
        <v>446306</v>
      </c>
      <c r="AF53" s="101">
        <v>2016034</v>
      </c>
      <c r="AG53" s="101">
        <v>4527720</v>
      </c>
      <c r="AI53" s="101">
        <v>-357288</v>
      </c>
      <c r="AJ53" s="101">
        <v>115767</v>
      </c>
      <c r="AK53" s="101">
        <v>696267</v>
      </c>
      <c r="AL53" s="101">
        <v>1194414</v>
      </c>
      <c r="AM53" s="101">
        <v>1649159</v>
      </c>
      <c r="AO53" s="101">
        <v>222127.00867250003</v>
      </c>
      <c r="AP53" s="101">
        <v>219395</v>
      </c>
      <c r="AQ53" s="101"/>
      <c r="AR53" s="101"/>
      <c r="AS53" s="101">
        <f t="shared" si="13"/>
        <v>441522.00867250003</v>
      </c>
    </row>
    <row r="54" spans="1:45" ht="17.25" x14ac:dyDescent="0.3">
      <c r="B54" s="111"/>
      <c r="E54" s="114"/>
      <c r="F54" s="114"/>
      <c r="G54" s="114"/>
      <c r="H54" s="114"/>
      <c r="I54" s="114"/>
      <c r="K54" s="114"/>
      <c r="L54" s="114"/>
      <c r="M54" s="114"/>
      <c r="N54" s="114"/>
      <c r="O54" s="114"/>
      <c r="Q54" s="114"/>
      <c r="R54" s="114"/>
      <c r="S54" s="114"/>
      <c r="T54" s="114"/>
      <c r="U54" s="114"/>
      <c r="W54" s="114"/>
      <c r="X54" s="114"/>
      <c r="Y54" s="114"/>
      <c r="Z54" s="114"/>
      <c r="AA54" s="114"/>
      <c r="AC54" s="114"/>
      <c r="AD54" s="114"/>
      <c r="AE54" s="114"/>
      <c r="AF54" s="114"/>
      <c r="AG54" s="114"/>
      <c r="AI54" s="114"/>
      <c r="AJ54" s="114"/>
      <c r="AK54" s="114"/>
      <c r="AL54" s="114"/>
      <c r="AM54" s="114"/>
      <c r="AO54" s="114"/>
      <c r="AP54" s="114"/>
      <c r="AQ54" s="114"/>
      <c r="AR54" s="114"/>
      <c r="AS54" s="114"/>
    </row>
    <row r="55" spans="1:45" ht="17.25" x14ac:dyDescent="0.3">
      <c r="B55" s="111"/>
      <c r="E55" s="114"/>
      <c r="F55" s="114"/>
      <c r="G55" s="114"/>
      <c r="H55" s="114"/>
      <c r="I55" s="114"/>
      <c r="K55" s="114"/>
      <c r="L55" s="114"/>
      <c r="M55" s="114"/>
      <c r="N55" s="114"/>
      <c r="O55" s="114"/>
      <c r="Q55" s="114"/>
      <c r="R55" s="114"/>
      <c r="S55" s="114"/>
      <c r="T55" s="114"/>
      <c r="U55" s="114"/>
      <c r="W55" s="114"/>
      <c r="X55" s="114"/>
      <c r="Y55" s="114"/>
      <c r="Z55" s="114"/>
      <c r="AA55" s="114"/>
      <c r="AC55" s="114"/>
      <c r="AD55" s="114"/>
      <c r="AE55" s="114"/>
      <c r="AF55" s="114"/>
      <c r="AG55" s="114"/>
      <c r="AI55" s="114"/>
      <c r="AJ55" s="114"/>
      <c r="AK55" s="114"/>
      <c r="AL55" s="114"/>
      <c r="AM55" s="114"/>
      <c r="AO55" s="114"/>
      <c r="AP55" s="114"/>
      <c r="AQ55" s="114"/>
      <c r="AR55" s="114"/>
      <c r="AS55" s="114"/>
    </row>
    <row r="56" spans="1:45" ht="17.25" x14ac:dyDescent="0.3">
      <c r="B56" s="111"/>
      <c r="E56" s="114"/>
      <c r="F56" s="114"/>
      <c r="G56" s="114"/>
      <c r="H56" s="114"/>
      <c r="I56" s="114"/>
      <c r="K56" s="114"/>
      <c r="L56" s="114"/>
      <c r="M56" s="114"/>
      <c r="N56" s="114"/>
      <c r="O56" s="114"/>
      <c r="Q56" s="114"/>
      <c r="R56" s="114"/>
      <c r="S56" s="114"/>
      <c r="T56" s="114"/>
      <c r="U56" s="114"/>
      <c r="W56" s="114"/>
      <c r="X56" s="114"/>
      <c r="Y56" s="114"/>
      <c r="Z56" s="114"/>
      <c r="AA56" s="114"/>
      <c r="AC56" s="114"/>
      <c r="AD56" s="114"/>
      <c r="AE56" s="114"/>
      <c r="AF56" s="114"/>
      <c r="AG56" s="114"/>
      <c r="AI56" s="114"/>
      <c r="AJ56" s="114"/>
      <c r="AK56" s="114"/>
      <c r="AL56" s="114"/>
      <c r="AM56" s="114"/>
      <c r="AO56" s="114"/>
      <c r="AP56" s="114"/>
      <c r="AQ56" s="114"/>
      <c r="AR56" s="114"/>
      <c r="AS56" s="114"/>
    </row>
    <row r="57" spans="1:45" ht="17.25" x14ac:dyDescent="0.3">
      <c r="B57" s="111"/>
      <c r="E57" s="114"/>
      <c r="F57" s="114"/>
      <c r="G57" s="114"/>
      <c r="H57" s="114"/>
      <c r="I57" s="114"/>
      <c r="K57" s="114"/>
      <c r="L57" s="114"/>
      <c r="M57" s="114"/>
      <c r="N57" s="114"/>
      <c r="O57" s="114"/>
      <c r="Q57" s="114"/>
      <c r="R57" s="114"/>
      <c r="S57" s="114"/>
      <c r="T57" s="114"/>
      <c r="U57" s="114"/>
      <c r="W57" s="114"/>
      <c r="X57" s="114"/>
      <c r="Y57" s="114"/>
      <c r="Z57" s="114"/>
      <c r="AA57" s="114"/>
      <c r="AC57" s="114"/>
      <c r="AD57" s="114"/>
      <c r="AE57" s="114"/>
      <c r="AF57" s="114"/>
      <c r="AG57" s="114"/>
      <c r="AI57" s="114"/>
      <c r="AJ57" s="114"/>
      <c r="AK57" s="114"/>
      <c r="AL57" s="114"/>
      <c r="AM57" s="114"/>
      <c r="AO57" s="114"/>
      <c r="AP57" s="114"/>
      <c r="AQ57" s="114"/>
      <c r="AR57" s="114"/>
      <c r="AS57" s="114"/>
    </row>
    <row r="58" spans="1:45" ht="17.25" x14ac:dyDescent="0.3">
      <c r="B58" s="111"/>
      <c r="E58" s="114"/>
      <c r="F58" s="114"/>
      <c r="G58" s="114"/>
      <c r="H58" s="114"/>
      <c r="I58" s="114"/>
      <c r="K58" s="114"/>
      <c r="L58" s="114"/>
      <c r="M58" s="114"/>
      <c r="N58" s="114"/>
      <c r="O58" s="114"/>
      <c r="Q58" s="114"/>
      <c r="R58" s="114"/>
      <c r="S58" s="114"/>
      <c r="T58" s="114"/>
      <c r="U58" s="114"/>
      <c r="W58" s="114"/>
      <c r="X58" s="114"/>
      <c r="Y58" s="114"/>
      <c r="Z58" s="114"/>
      <c r="AA58" s="114"/>
      <c r="AC58" s="114"/>
      <c r="AD58" s="114"/>
      <c r="AE58" s="114"/>
      <c r="AF58" s="114"/>
      <c r="AG58" s="114"/>
      <c r="AI58" s="114"/>
      <c r="AJ58" s="114"/>
      <c r="AK58" s="114"/>
      <c r="AL58" s="114"/>
      <c r="AM58" s="114"/>
      <c r="AO58" s="114"/>
      <c r="AP58" s="114"/>
      <c r="AQ58" s="114"/>
      <c r="AR58" s="114"/>
      <c r="AS58" s="114"/>
    </row>
    <row r="59" spans="1:45" ht="17.25" x14ac:dyDescent="0.3">
      <c r="B59" s="111"/>
      <c r="E59" s="114"/>
      <c r="F59" s="114"/>
      <c r="G59" s="114"/>
      <c r="H59" s="114"/>
      <c r="I59" s="114"/>
      <c r="K59" s="114"/>
      <c r="L59" s="114"/>
      <c r="M59" s="114"/>
      <c r="N59" s="114"/>
      <c r="O59" s="114"/>
      <c r="Q59" s="114"/>
      <c r="R59" s="114"/>
      <c r="S59" s="114"/>
      <c r="T59" s="114"/>
      <c r="U59" s="114"/>
      <c r="W59" s="114"/>
      <c r="X59" s="114"/>
      <c r="Y59" s="114"/>
      <c r="Z59" s="114"/>
      <c r="AA59" s="114"/>
      <c r="AC59" s="114"/>
      <c r="AD59" s="114"/>
      <c r="AE59" s="114"/>
      <c r="AF59" s="114"/>
      <c r="AG59" s="114"/>
      <c r="AI59" s="114"/>
      <c r="AJ59" s="114"/>
      <c r="AK59" s="114"/>
      <c r="AL59" s="114"/>
      <c r="AM59" s="114"/>
      <c r="AO59" s="114"/>
      <c r="AP59" s="114"/>
      <c r="AQ59" s="114"/>
      <c r="AR59" s="114"/>
      <c r="AS59" s="114"/>
    </row>
    <row r="60" spans="1:45" ht="17.25" x14ac:dyDescent="0.3">
      <c r="B60" s="111"/>
      <c r="E60" s="114"/>
      <c r="F60" s="114"/>
      <c r="G60" s="114"/>
      <c r="H60" s="114"/>
      <c r="I60" s="114"/>
      <c r="K60" s="114"/>
      <c r="L60" s="114"/>
      <c r="M60" s="114"/>
      <c r="N60" s="114"/>
      <c r="O60" s="114"/>
      <c r="Q60" s="114"/>
      <c r="R60" s="114"/>
      <c r="S60" s="114"/>
      <c r="T60" s="114"/>
      <c r="U60" s="114"/>
      <c r="W60" s="114"/>
      <c r="X60" s="114"/>
      <c r="Y60" s="114"/>
      <c r="Z60" s="114"/>
      <c r="AA60" s="114"/>
      <c r="AC60" s="114"/>
      <c r="AD60" s="114"/>
      <c r="AE60" s="114"/>
      <c r="AF60" s="114"/>
      <c r="AG60" s="114"/>
      <c r="AI60" s="114"/>
      <c r="AJ60" s="114"/>
      <c r="AK60" s="114"/>
      <c r="AL60" s="114"/>
      <c r="AM60" s="114"/>
      <c r="AO60" s="114"/>
      <c r="AP60" s="114"/>
      <c r="AQ60" s="114"/>
      <c r="AR60" s="114"/>
      <c r="AS60" s="114"/>
    </row>
    <row r="61" spans="1:45" ht="17.25" x14ac:dyDescent="0.3">
      <c r="B61" s="111"/>
      <c r="E61" s="114"/>
      <c r="F61" s="114"/>
      <c r="G61" s="114"/>
      <c r="H61" s="114"/>
      <c r="I61" s="114"/>
      <c r="K61" s="114"/>
      <c r="L61" s="114"/>
      <c r="M61" s="114"/>
      <c r="N61" s="114"/>
      <c r="O61" s="114"/>
      <c r="Q61" s="114"/>
      <c r="R61" s="114"/>
      <c r="S61" s="114"/>
      <c r="T61" s="114"/>
      <c r="U61" s="114"/>
      <c r="W61" s="114"/>
      <c r="X61" s="114"/>
      <c r="Y61" s="114"/>
      <c r="Z61" s="114"/>
      <c r="AA61" s="114"/>
      <c r="AC61" s="114"/>
      <c r="AD61" s="114"/>
      <c r="AE61" s="114"/>
      <c r="AF61" s="114"/>
      <c r="AG61" s="114"/>
      <c r="AI61" s="114"/>
      <c r="AJ61" s="114"/>
      <c r="AK61" s="114"/>
      <c r="AL61" s="114"/>
      <c r="AM61" s="114"/>
      <c r="AO61" s="114"/>
      <c r="AP61" s="114"/>
      <c r="AQ61" s="114"/>
      <c r="AR61" s="114"/>
      <c r="AS61" s="114"/>
    </row>
    <row r="62" spans="1:45" ht="15.75" x14ac:dyDescent="0.25">
      <c r="E62" s="114"/>
      <c r="F62" s="114"/>
      <c r="G62" s="114"/>
      <c r="H62" s="114"/>
      <c r="I62" s="114"/>
      <c r="K62" s="114"/>
      <c r="L62" s="114"/>
      <c r="M62" s="114"/>
      <c r="N62" s="114"/>
      <c r="O62" s="114"/>
      <c r="Q62" s="114"/>
      <c r="R62" s="114"/>
      <c r="S62" s="114"/>
      <c r="T62" s="114"/>
      <c r="U62" s="114"/>
      <c r="W62" s="114"/>
      <c r="X62" s="114"/>
      <c r="Y62" s="114"/>
      <c r="Z62" s="114"/>
      <c r="AA62" s="114"/>
      <c r="AC62" s="114"/>
      <c r="AD62" s="114"/>
      <c r="AE62" s="114"/>
      <c r="AF62" s="114"/>
      <c r="AG62" s="114"/>
      <c r="AI62" s="114"/>
      <c r="AJ62" s="114"/>
      <c r="AK62" s="114"/>
      <c r="AL62" s="114"/>
      <c r="AM62" s="114"/>
      <c r="AO62" s="114"/>
      <c r="AP62" s="114"/>
      <c r="AQ62" s="114"/>
      <c r="AR62" s="114"/>
      <c r="AS62" s="114"/>
    </row>
    <row r="63" spans="1:45" ht="15.75" x14ac:dyDescent="0.25">
      <c r="E63" s="114"/>
      <c r="F63" s="114"/>
      <c r="G63" s="114"/>
      <c r="H63" s="114"/>
      <c r="I63" s="114"/>
      <c r="K63" s="114"/>
      <c r="L63" s="114"/>
      <c r="M63" s="114"/>
      <c r="N63" s="114"/>
      <c r="O63" s="114"/>
      <c r="Q63" s="114"/>
      <c r="R63" s="114"/>
      <c r="S63" s="114"/>
      <c r="T63" s="114"/>
      <c r="U63" s="114"/>
      <c r="W63" s="114"/>
      <c r="X63" s="114"/>
      <c r="Y63" s="114"/>
      <c r="Z63" s="114"/>
      <c r="AA63" s="114"/>
      <c r="AC63" s="114"/>
      <c r="AD63" s="114"/>
      <c r="AE63" s="114"/>
      <c r="AF63" s="114"/>
      <c r="AG63" s="114"/>
      <c r="AI63" s="114"/>
      <c r="AJ63" s="114"/>
      <c r="AK63" s="114"/>
      <c r="AL63" s="114"/>
      <c r="AM63" s="114"/>
      <c r="AO63" s="114"/>
      <c r="AP63" s="114"/>
      <c r="AQ63" s="114"/>
      <c r="AR63" s="114"/>
      <c r="AS63" s="114"/>
    </row>
    <row r="64" spans="1:45" ht="15.75" x14ac:dyDescent="0.25">
      <c r="E64" s="114"/>
      <c r="F64" s="114"/>
      <c r="G64" s="114"/>
      <c r="H64" s="114"/>
      <c r="I64" s="114"/>
      <c r="K64" s="114"/>
      <c r="L64" s="114"/>
      <c r="M64" s="114"/>
      <c r="N64" s="114"/>
      <c r="O64" s="114"/>
      <c r="Q64" s="114"/>
      <c r="R64" s="114"/>
      <c r="S64" s="114"/>
      <c r="T64" s="114"/>
      <c r="U64" s="114"/>
      <c r="W64" s="114"/>
      <c r="X64" s="114"/>
      <c r="Y64" s="114"/>
      <c r="Z64" s="114"/>
      <c r="AA64" s="114"/>
      <c r="AC64" s="114"/>
      <c r="AD64" s="114"/>
      <c r="AE64" s="114"/>
      <c r="AF64" s="114"/>
      <c r="AG64" s="114"/>
      <c r="AI64" s="114"/>
      <c r="AJ64" s="114"/>
      <c r="AK64" s="114"/>
      <c r="AL64" s="114"/>
      <c r="AM64" s="114"/>
      <c r="AO64" s="114"/>
      <c r="AP64" s="114"/>
      <c r="AQ64" s="114"/>
      <c r="AR64" s="114"/>
      <c r="AS64" s="114"/>
    </row>
    <row r="65" spans="4:45" ht="15.75" x14ac:dyDescent="0.25">
      <c r="E65" s="86"/>
      <c r="F65" s="86"/>
      <c r="G65" s="86"/>
      <c r="H65" s="86"/>
      <c r="I65" s="86"/>
      <c r="K65" s="86"/>
      <c r="L65" s="86"/>
      <c r="M65" s="86"/>
      <c r="N65" s="86"/>
      <c r="O65" s="86"/>
      <c r="Q65" s="86"/>
      <c r="R65" s="86"/>
      <c r="S65" s="86"/>
      <c r="T65" s="86"/>
      <c r="U65" s="86"/>
      <c r="W65" s="86"/>
      <c r="X65" s="86"/>
      <c r="Y65" s="86"/>
      <c r="Z65" s="86"/>
      <c r="AA65" s="86"/>
      <c r="AC65" s="86"/>
      <c r="AD65" s="86"/>
      <c r="AE65" s="86"/>
      <c r="AF65" s="86"/>
      <c r="AG65" s="86"/>
      <c r="AI65" s="86"/>
      <c r="AJ65" s="86"/>
      <c r="AK65" s="86"/>
      <c r="AL65" s="86"/>
      <c r="AM65" s="86"/>
      <c r="AO65" s="86"/>
      <c r="AP65" s="86"/>
      <c r="AQ65" s="86"/>
      <c r="AR65" s="86"/>
      <c r="AS65" s="86"/>
    </row>
    <row r="66" spans="4:45" ht="15.75" x14ac:dyDescent="0.25">
      <c r="E66" s="86"/>
      <c r="F66" s="86"/>
      <c r="G66" s="86"/>
      <c r="H66" s="86"/>
      <c r="I66" s="86"/>
      <c r="K66" s="86"/>
      <c r="L66" s="86"/>
      <c r="M66" s="86"/>
      <c r="N66" s="86"/>
      <c r="O66" s="86"/>
      <c r="Q66" s="86"/>
      <c r="R66" s="86"/>
      <c r="S66" s="86"/>
      <c r="T66" s="86"/>
      <c r="U66" s="86"/>
      <c r="W66" s="86"/>
      <c r="X66" s="86"/>
      <c r="Y66" s="86"/>
      <c r="Z66" s="86"/>
      <c r="AA66" s="86"/>
      <c r="AC66" s="86"/>
      <c r="AD66" s="86"/>
      <c r="AE66" s="86"/>
      <c r="AF66" s="86"/>
      <c r="AG66" s="86"/>
      <c r="AI66" s="86"/>
      <c r="AJ66" s="86"/>
      <c r="AK66" s="86"/>
      <c r="AL66" s="86"/>
      <c r="AM66" s="86"/>
      <c r="AO66" s="86"/>
      <c r="AP66" s="86"/>
      <c r="AQ66" s="86"/>
      <c r="AR66" s="86"/>
      <c r="AS66" s="86"/>
    </row>
    <row r="67" spans="4:45" ht="15.75" x14ac:dyDescent="0.25">
      <c r="E67" s="86"/>
      <c r="F67" s="86"/>
      <c r="G67" s="86"/>
      <c r="H67" s="86"/>
      <c r="I67" s="86"/>
      <c r="K67" s="86"/>
      <c r="L67" s="86"/>
      <c r="M67" s="86"/>
      <c r="N67" s="86"/>
      <c r="O67" s="86"/>
      <c r="Q67" s="86"/>
      <c r="R67" s="86"/>
      <c r="S67" s="86"/>
      <c r="T67" s="86"/>
      <c r="U67" s="86"/>
      <c r="W67" s="86"/>
      <c r="X67" s="86"/>
      <c r="Y67" s="86"/>
      <c r="Z67" s="86"/>
      <c r="AA67" s="86"/>
      <c r="AC67" s="86"/>
      <c r="AD67" s="86"/>
      <c r="AE67" s="86"/>
      <c r="AF67" s="86"/>
      <c r="AG67" s="86"/>
      <c r="AI67" s="86"/>
      <c r="AJ67" s="86"/>
      <c r="AK67" s="86"/>
      <c r="AL67" s="86"/>
      <c r="AM67" s="86"/>
      <c r="AO67" s="86"/>
      <c r="AP67" s="86"/>
      <c r="AQ67" s="86"/>
      <c r="AR67" s="86"/>
      <c r="AS67" s="86"/>
    </row>
    <row r="68" spans="4:45" ht="15.75" x14ac:dyDescent="0.25">
      <c r="E68" s="86"/>
      <c r="F68" s="86"/>
      <c r="G68" s="86"/>
      <c r="H68" s="86"/>
      <c r="I68" s="86"/>
      <c r="K68" s="86"/>
      <c r="L68" s="86"/>
      <c r="M68" s="86"/>
      <c r="N68" s="86"/>
      <c r="O68" s="86"/>
      <c r="Q68" s="86"/>
      <c r="R68" s="86"/>
      <c r="S68" s="86"/>
      <c r="T68" s="86"/>
      <c r="U68" s="86"/>
      <c r="W68" s="86"/>
      <c r="X68" s="86"/>
      <c r="Y68" s="86"/>
      <c r="Z68" s="86"/>
      <c r="AA68" s="86"/>
      <c r="AC68" s="86"/>
      <c r="AD68" s="86"/>
      <c r="AE68" s="86"/>
      <c r="AF68" s="86"/>
      <c r="AG68" s="86"/>
      <c r="AI68" s="86"/>
      <c r="AJ68" s="86"/>
      <c r="AK68" s="86"/>
      <c r="AL68" s="86"/>
      <c r="AM68" s="86"/>
      <c r="AO68" s="86"/>
      <c r="AP68" s="86"/>
      <c r="AQ68" s="86"/>
      <c r="AR68" s="86"/>
      <c r="AS68" s="86"/>
    </row>
    <row r="69" spans="4:45" ht="15.75" x14ac:dyDescent="0.25">
      <c r="E69" s="86"/>
      <c r="F69" s="86"/>
      <c r="G69" s="86"/>
      <c r="H69" s="86"/>
      <c r="I69" s="86"/>
      <c r="K69" s="86"/>
      <c r="L69" s="86"/>
      <c r="M69" s="86"/>
      <c r="N69" s="86"/>
      <c r="O69" s="86"/>
      <c r="Q69" s="86"/>
      <c r="R69" s="86"/>
      <c r="S69" s="86"/>
      <c r="T69" s="86"/>
      <c r="U69" s="86"/>
      <c r="W69" s="86"/>
      <c r="X69" s="86"/>
      <c r="Y69" s="86"/>
      <c r="Z69" s="86"/>
      <c r="AA69" s="86"/>
      <c r="AC69" s="86"/>
      <c r="AD69" s="86"/>
      <c r="AE69" s="86"/>
      <c r="AF69" s="86"/>
      <c r="AG69" s="86"/>
      <c r="AI69" s="86"/>
      <c r="AJ69" s="86"/>
      <c r="AK69" s="86"/>
      <c r="AL69" s="86"/>
      <c r="AM69" s="86"/>
      <c r="AO69" s="86"/>
      <c r="AP69" s="86"/>
      <c r="AQ69" s="86"/>
      <c r="AR69" s="86"/>
      <c r="AS69" s="86"/>
    </row>
    <row r="70" spans="4:45" ht="15.75" x14ac:dyDescent="0.25">
      <c r="E70" s="86"/>
      <c r="F70" s="86"/>
      <c r="G70" s="86"/>
      <c r="H70" s="86"/>
      <c r="I70" s="86"/>
      <c r="K70" s="86"/>
      <c r="L70" s="86"/>
      <c r="M70" s="86"/>
      <c r="N70" s="86"/>
      <c r="O70" s="86"/>
      <c r="Q70" s="86"/>
      <c r="R70" s="86"/>
      <c r="S70" s="86"/>
      <c r="T70" s="86"/>
      <c r="U70" s="86"/>
      <c r="W70" s="86"/>
      <c r="X70" s="86"/>
      <c r="Y70" s="86"/>
      <c r="Z70" s="86"/>
      <c r="AA70" s="86"/>
      <c r="AC70" s="86"/>
      <c r="AD70" s="86"/>
      <c r="AE70" s="86"/>
      <c r="AF70" s="86"/>
      <c r="AG70" s="86"/>
      <c r="AI70" s="86"/>
      <c r="AJ70" s="86"/>
      <c r="AK70" s="86"/>
      <c r="AL70" s="86"/>
      <c r="AM70" s="86"/>
      <c r="AO70" s="86"/>
      <c r="AP70" s="86"/>
      <c r="AQ70" s="86"/>
      <c r="AR70" s="86"/>
      <c r="AS70" s="86"/>
    </row>
    <row r="71" spans="4:45" ht="15.75" x14ac:dyDescent="0.25">
      <c r="E71" s="86"/>
      <c r="F71" s="86"/>
      <c r="G71" s="86"/>
      <c r="H71" s="86"/>
      <c r="I71" s="86"/>
      <c r="K71" s="86"/>
      <c r="L71" s="86"/>
      <c r="M71" s="86"/>
      <c r="N71" s="86"/>
      <c r="O71" s="86"/>
      <c r="Q71" s="86"/>
      <c r="R71" s="86"/>
      <c r="S71" s="86"/>
      <c r="T71" s="86"/>
      <c r="U71" s="86"/>
      <c r="W71" s="86"/>
      <c r="X71" s="86"/>
      <c r="Y71" s="86"/>
      <c r="Z71" s="86"/>
      <c r="AA71" s="86"/>
      <c r="AC71" s="86"/>
      <c r="AD71" s="86"/>
      <c r="AE71" s="86"/>
      <c r="AF71" s="86"/>
      <c r="AG71" s="86"/>
      <c r="AI71" s="86"/>
      <c r="AJ71" s="86"/>
      <c r="AK71" s="86"/>
      <c r="AL71" s="86"/>
      <c r="AM71" s="86"/>
      <c r="AO71" s="86"/>
      <c r="AP71" s="86"/>
      <c r="AQ71" s="86"/>
      <c r="AR71" s="86"/>
      <c r="AS71" s="86"/>
    </row>
    <row r="72" spans="4:45" ht="15.75" x14ac:dyDescent="0.25">
      <c r="D72" s="103"/>
      <c r="E72" s="114"/>
      <c r="F72" s="114"/>
      <c r="G72" s="114"/>
      <c r="H72" s="114"/>
      <c r="I72" s="114"/>
      <c r="J72" s="103"/>
      <c r="K72" s="114"/>
      <c r="L72" s="114"/>
      <c r="M72" s="114"/>
      <c r="N72" s="114"/>
      <c r="O72" s="114"/>
      <c r="P72" s="103"/>
      <c r="Q72" s="114"/>
      <c r="R72" s="114"/>
      <c r="S72" s="114"/>
      <c r="T72" s="114"/>
      <c r="U72" s="114"/>
      <c r="V72" s="103"/>
      <c r="W72" s="114"/>
      <c r="X72" s="114"/>
      <c r="Y72" s="114"/>
      <c r="Z72" s="114"/>
      <c r="AA72" s="114"/>
      <c r="AB72" s="103"/>
      <c r="AC72" s="114"/>
      <c r="AD72" s="114"/>
      <c r="AE72" s="114"/>
      <c r="AF72" s="114"/>
      <c r="AG72" s="114"/>
      <c r="AH72" s="103"/>
      <c r="AI72" s="114"/>
      <c r="AJ72" s="114"/>
      <c r="AK72" s="114"/>
      <c r="AL72" s="114"/>
      <c r="AM72" s="114"/>
      <c r="AN72" s="103"/>
      <c r="AO72" s="114"/>
      <c r="AP72" s="114"/>
      <c r="AQ72" s="114"/>
      <c r="AR72" s="114"/>
      <c r="AS72" s="114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&amp;L_x000D_&amp;1#&amp;"Calibri"&amp;10&amp;K000000 Público</oddFooter>
  </headerFooter>
  <ignoredErrors>
    <ignoredError sqref="AG13 AS44 AS13" formula="1"/>
    <ignoredError sqref="AO45 AK45:AL4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0F128-9BE7-440F-A005-75B3C8502044}">
  <sheetPr>
    <tabColor theme="6" tint="0.59999389629810485"/>
  </sheetPr>
  <dimension ref="A1:AG59"/>
  <sheetViews>
    <sheetView showGridLines="0" zoomScale="70" zoomScaleNormal="70" workbookViewId="0">
      <pane xSplit="4" ySplit="4" topLeftCell="H5" activePane="bottomRight" state="frozen"/>
      <selection pane="topRight"/>
      <selection pane="bottomLeft"/>
      <selection pane="bottomRight" activeCell="AF5" sqref="AF5"/>
    </sheetView>
  </sheetViews>
  <sheetFormatPr defaultColWidth="15.7109375" defaultRowHeight="15" customHeight="1" outlineLevelRow="1" outlineLevelCol="1" x14ac:dyDescent="0.25"/>
  <cols>
    <col min="1" max="1" width="89.140625" style="103" customWidth="1"/>
    <col min="2" max="3" width="89.140625" style="103" hidden="1" customWidth="1"/>
    <col min="4" max="4" width="1" style="78" customWidth="1"/>
    <col min="5" max="7" width="15.7109375" style="76" hidden="1" customWidth="1" outlineLevel="1"/>
    <col min="8" max="8" width="15.7109375" style="76" customWidth="1" collapsed="1"/>
    <col min="9" max="9" width="2.5703125" style="85" customWidth="1"/>
    <col min="10" max="12" width="15.7109375" style="76" hidden="1" customWidth="1" outlineLevel="1"/>
    <col min="13" max="13" width="15.7109375" style="76" customWidth="1" collapsed="1"/>
    <col min="14" max="14" width="2.5703125" style="85" customWidth="1"/>
    <col min="15" max="17" width="15.7109375" style="76" hidden="1" customWidth="1" outlineLevel="1"/>
    <col min="18" max="18" width="15.7109375" style="76" customWidth="1" collapsed="1"/>
    <col min="19" max="19" width="2.5703125" style="85" customWidth="1"/>
    <col min="20" max="22" width="15.7109375" style="76" hidden="1" customWidth="1" outlineLevel="1"/>
    <col min="23" max="23" width="15.7109375" style="76" customWidth="1" collapsed="1"/>
    <col min="24" max="24" width="2.5703125" style="85" customWidth="1"/>
    <col min="25" max="27" width="15.7109375" style="76" hidden="1" customWidth="1" outlineLevel="1"/>
    <col min="28" max="28" width="15.7109375" style="76" customWidth="1" collapsed="1"/>
    <col min="29" max="29" width="2.5703125" style="85" customWidth="1"/>
    <col min="30" max="32" width="15.7109375" style="76" customWidth="1" outlineLevel="1"/>
    <col min="33" max="33" width="15.7109375" style="76"/>
    <col min="34" max="16384" width="15.7109375" style="78"/>
  </cols>
  <sheetData>
    <row r="1" spans="1:33" ht="18" customHeight="1" x14ac:dyDescent="0.3">
      <c r="A1" s="74"/>
      <c r="B1" s="74"/>
      <c r="C1" s="74"/>
      <c r="D1" s="75"/>
      <c r="I1" s="77"/>
      <c r="N1" s="77"/>
      <c r="S1" s="77"/>
      <c r="X1" s="77"/>
      <c r="AC1" s="77"/>
    </row>
    <row r="2" spans="1:33" s="82" customFormat="1" ht="18" customHeight="1" x14ac:dyDescent="0.25">
      <c r="A2" s="79"/>
      <c r="B2" s="79"/>
      <c r="C2" s="79"/>
      <c r="D2" s="80"/>
      <c r="E2" s="81">
        <v>44286</v>
      </c>
      <c r="F2" s="81">
        <v>44377</v>
      </c>
      <c r="G2" s="81">
        <v>44469</v>
      </c>
      <c r="H2" s="81">
        <v>44561</v>
      </c>
      <c r="I2" s="80"/>
      <c r="J2" s="81">
        <v>44651</v>
      </c>
      <c r="K2" s="81">
        <v>44742</v>
      </c>
      <c r="L2" s="81">
        <v>44834</v>
      </c>
      <c r="M2" s="81">
        <v>44926</v>
      </c>
      <c r="N2" s="80"/>
      <c r="O2" s="81">
        <v>45016</v>
      </c>
      <c r="P2" s="81">
        <v>45107</v>
      </c>
      <c r="Q2" s="81">
        <v>45199</v>
      </c>
      <c r="R2" s="81">
        <v>45291</v>
      </c>
      <c r="S2" s="80"/>
      <c r="T2" s="81">
        <v>45382</v>
      </c>
      <c r="U2" s="81">
        <v>45473</v>
      </c>
      <c r="V2" s="81">
        <v>45565</v>
      </c>
      <c r="W2" s="81">
        <v>45657</v>
      </c>
      <c r="X2" s="80"/>
      <c r="Y2" s="81">
        <v>45747</v>
      </c>
      <c r="Z2" s="81">
        <v>45838</v>
      </c>
      <c r="AA2" s="81">
        <v>45930</v>
      </c>
      <c r="AB2" s="81">
        <v>46022</v>
      </c>
      <c r="AC2" s="80"/>
      <c r="AD2" s="146">
        <v>46112</v>
      </c>
      <c r="AE2" s="146">
        <v>46203</v>
      </c>
      <c r="AF2" s="146">
        <v>46295</v>
      </c>
      <c r="AG2" s="146">
        <v>46387</v>
      </c>
    </row>
    <row r="3" spans="1:33" s="82" customFormat="1" ht="18" customHeight="1" x14ac:dyDescent="0.25">
      <c r="A3" s="79"/>
      <c r="B3" s="79"/>
      <c r="C3" s="79"/>
      <c r="D3" s="83"/>
      <c r="E3" s="81" t="s">
        <v>419</v>
      </c>
      <c r="F3" s="84" t="s">
        <v>420</v>
      </c>
      <c r="G3" s="84" t="s">
        <v>421</v>
      </c>
      <c r="H3" s="84" t="s">
        <v>422</v>
      </c>
      <c r="I3" s="83"/>
      <c r="J3" s="81" t="s">
        <v>423</v>
      </c>
      <c r="K3" s="84" t="s">
        <v>427</v>
      </c>
      <c r="L3" s="84" t="s">
        <v>421</v>
      </c>
      <c r="M3" s="84" t="s">
        <v>428</v>
      </c>
      <c r="N3" s="83"/>
      <c r="O3" s="81" t="s">
        <v>424</v>
      </c>
      <c r="P3" s="84" t="s">
        <v>430</v>
      </c>
      <c r="Q3" s="84" t="s">
        <v>429</v>
      </c>
      <c r="R3" s="84" t="s">
        <v>431</v>
      </c>
      <c r="S3" s="83"/>
      <c r="T3" s="81" t="s">
        <v>425</v>
      </c>
      <c r="U3" s="84" t="s">
        <v>433</v>
      </c>
      <c r="V3" s="84" t="s">
        <v>432</v>
      </c>
      <c r="W3" s="84" t="s">
        <v>434</v>
      </c>
      <c r="X3" s="83"/>
      <c r="Y3" s="81" t="s">
        <v>426</v>
      </c>
      <c r="Z3" s="84" t="s">
        <v>435</v>
      </c>
      <c r="AA3" s="84" t="s">
        <v>441</v>
      </c>
      <c r="AB3" s="84" t="s">
        <v>437</v>
      </c>
      <c r="AC3" s="83"/>
      <c r="AD3" s="146" t="s">
        <v>447</v>
      </c>
      <c r="AE3" s="146" t="s">
        <v>448</v>
      </c>
      <c r="AF3" s="147" t="s">
        <v>449</v>
      </c>
      <c r="AG3" s="147" t="s">
        <v>450</v>
      </c>
    </row>
    <row r="4" spans="1:33" s="145" customFormat="1" ht="20.100000000000001" customHeight="1" x14ac:dyDescent="0.25">
      <c r="A4" s="142" t="str">
        <f>IF(Menu!$D$7="Português/Portuguese",B4,C4)</f>
        <v>Valores em R$ (´000)</v>
      </c>
      <c r="B4" s="142" t="s">
        <v>218</v>
      </c>
      <c r="C4" s="142" t="s">
        <v>138</v>
      </c>
      <c r="D4" s="143"/>
      <c r="E4" s="50">
        <f>IF(Menu!$D$7="Português/Portuguese",E2,E3)</f>
        <v>44286</v>
      </c>
      <c r="F4" s="50">
        <f>IF(Menu!$D$7="Português/Portuguese",F2,F3)</f>
        <v>44377</v>
      </c>
      <c r="G4" s="50">
        <f>IF(Menu!$D$7="Português/Portuguese",G2,G3)</f>
        <v>44469</v>
      </c>
      <c r="H4" s="51">
        <f>IF(Menu!$D$7="Português/Portuguese",H2,H3)</f>
        <v>44561</v>
      </c>
      <c r="I4" s="144"/>
      <c r="J4" s="50">
        <f>IF(Menu!$D$7="Português/Portuguese",J2,J3)</f>
        <v>44651</v>
      </c>
      <c r="K4" s="50">
        <f>IF(Menu!$D$7="Português/Portuguese",K2,K3)</f>
        <v>44742</v>
      </c>
      <c r="L4" s="50">
        <f>IF(Menu!$D$7="Português/Portuguese",L2,L3)</f>
        <v>44834</v>
      </c>
      <c r="M4" s="51">
        <f>IF(Menu!$D$7="Português/Portuguese",M2,M3)</f>
        <v>44926</v>
      </c>
      <c r="N4" s="144"/>
      <c r="O4" s="50">
        <f>IF(Menu!$D$7="Português/Portuguese",O2,O3)</f>
        <v>45016</v>
      </c>
      <c r="P4" s="50">
        <f>IF(Menu!$D$7="Português/Portuguese",P2,P3)</f>
        <v>45107</v>
      </c>
      <c r="Q4" s="50">
        <f>IF(Menu!$D$7="Português/Portuguese",Q2,Q3)</f>
        <v>45199</v>
      </c>
      <c r="R4" s="51">
        <f>IF(Menu!$D$7="Português/Portuguese",R2,R3)</f>
        <v>45291</v>
      </c>
      <c r="S4" s="144"/>
      <c r="T4" s="50">
        <f>IF(Menu!$D$7="Português/Portuguese",T2,T3)</f>
        <v>45382</v>
      </c>
      <c r="U4" s="50">
        <f>IF(Menu!$D$7="Português/Portuguese",U2,U3)</f>
        <v>45473</v>
      </c>
      <c r="V4" s="50">
        <f>IF(Menu!$D$7="Português/Portuguese",V2,V3)</f>
        <v>45565</v>
      </c>
      <c r="W4" s="51">
        <f>IF(Menu!$D$7="Português/Portuguese",W2,W3)</f>
        <v>45657</v>
      </c>
      <c r="X4" s="144"/>
      <c r="Y4" s="50">
        <f>IF(Menu!$D$7="Português/Portuguese",Y2,Y3)</f>
        <v>45747</v>
      </c>
      <c r="Z4" s="50">
        <f>IF(Menu!$D$7="Português/Portuguese",Z2,Z3)</f>
        <v>45838</v>
      </c>
      <c r="AA4" s="50">
        <f>IF(Menu!$D$7="Português/Portuguese",AA2,AA3)</f>
        <v>45930</v>
      </c>
      <c r="AB4" s="51">
        <f>IF(Menu!$D$7="Português/Portuguese",AB2,AB3)</f>
        <v>46022</v>
      </c>
      <c r="AC4" s="144"/>
      <c r="AD4" s="50">
        <f>IF(Menu!$D$7="Português/Portuguese",AD2,AD3)</f>
        <v>46112</v>
      </c>
      <c r="AE4" s="50">
        <f>IF(Menu!$D$7="Português/Portuguese",AE2,AE3)</f>
        <v>46203</v>
      </c>
      <c r="AF4" s="50">
        <f>IF(Menu!$D$7="Português/Portuguese",AF2,AF3)</f>
        <v>46295</v>
      </c>
      <c r="AG4" s="51">
        <f>IF(Menu!$D$7="Português/Portuguese",AG2,AG3)</f>
        <v>46387</v>
      </c>
    </row>
    <row r="5" spans="1:33" s="85" customFormat="1" ht="18" x14ac:dyDescent="0.25">
      <c r="A5" s="88" t="str">
        <f>IF(Menu!$D$7="Português/Portuguese",B5,C5)</f>
        <v>Fluxo de Caixa líquido das Atividades Operacionais</v>
      </c>
      <c r="B5" s="88" t="s">
        <v>204</v>
      </c>
      <c r="C5" s="88" t="s">
        <v>203</v>
      </c>
      <c r="E5" s="88">
        <v>2420668</v>
      </c>
      <c r="F5" s="88">
        <v>2598688</v>
      </c>
      <c r="G5" s="88">
        <v>4200468</v>
      </c>
      <c r="H5" s="88">
        <v>-178056</v>
      </c>
      <c r="J5" s="88">
        <v>-3565519</v>
      </c>
      <c r="K5" s="88">
        <v>2117437</v>
      </c>
      <c r="L5" s="88">
        <f t="shared" ref="L5" si="0">SUM(L6:L19,L34)</f>
        <v>1106821</v>
      </c>
      <c r="M5" s="88">
        <v>-243289</v>
      </c>
      <c r="O5" s="88">
        <v>2698247</v>
      </c>
      <c r="P5" s="88">
        <v>1879811</v>
      </c>
      <c r="Q5" s="88">
        <v>2565059</v>
      </c>
      <c r="R5" s="88">
        <v>1103247</v>
      </c>
      <c r="T5" s="88">
        <v>919817</v>
      </c>
      <c r="U5" s="88">
        <v>3287868</v>
      </c>
      <c r="V5" s="88">
        <v>3565000</v>
      </c>
      <c r="W5" s="88">
        <v>3984005</v>
      </c>
      <c r="Y5" s="88">
        <v>-710017</v>
      </c>
      <c r="Z5" s="88">
        <v>791335</v>
      </c>
      <c r="AA5" s="88">
        <v>1162502</v>
      </c>
      <c r="AB5" s="88">
        <v>650459</v>
      </c>
      <c r="AD5" s="88">
        <f>SUM(AD34,AD19,AD6:AD18)</f>
        <v>71339</v>
      </c>
      <c r="AE5" s="88">
        <f>SUM(AE34,AE19,AE6:AE18)</f>
        <v>119254</v>
      </c>
      <c r="AF5" s="88"/>
      <c r="AG5" s="88"/>
    </row>
    <row r="6" spans="1:33" ht="17.25" x14ac:dyDescent="0.3">
      <c r="A6" s="89" t="str">
        <f>IF(Menu!$D$7="Português/Portuguese",B6,C6)</f>
        <v>Lucro líquido do período</v>
      </c>
      <c r="B6" s="89" t="s">
        <v>306</v>
      </c>
      <c r="C6" s="89" t="s">
        <v>346</v>
      </c>
      <c r="D6" s="90"/>
      <c r="E6" s="91">
        <v>2362662</v>
      </c>
      <c r="F6" s="91">
        <v>2500639</v>
      </c>
      <c r="G6" s="91">
        <v>804063</v>
      </c>
      <c r="H6" s="91">
        <v>703602</v>
      </c>
      <c r="J6" s="91">
        <v>739141</v>
      </c>
      <c r="K6" s="91">
        <v>825722</v>
      </c>
      <c r="L6" s="91">
        <v>514056</v>
      </c>
      <c r="M6" s="91">
        <v>871379</v>
      </c>
      <c r="O6" s="91">
        <v>515798</v>
      </c>
      <c r="P6" s="91">
        <v>494181</v>
      </c>
      <c r="Q6" s="91">
        <v>1199926</v>
      </c>
      <c r="R6" s="91">
        <v>1358832</v>
      </c>
      <c r="T6" s="91">
        <v>557938</v>
      </c>
      <c r="U6" s="91">
        <v>1507442</v>
      </c>
      <c r="V6" s="91">
        <v>446307</v>
      </c>
      <c r="W6" s="91">
        <v>2016032</v>
      </c>
      <c r="Y6" s="91">
        <v>-357260</v>
      </c>
      <c r="Z6" s="91">
        <v>115739</v>
      </c>
      <c r="AA6" s="91">
        <v>696267</v>
      </c>
      <c r="AB6" s="91">
        <v>1194413</v>
      </c>
      <c r="AD6" s="91">
        <v>222127</v>
      </c>
      <c r="AE6" s="91">
        <v>219887</v>
      </c>
      <c r="AF6" s="91"/>
      <c r="AG6" s="91"/>
    </row>
    <row r="7" spans="1:33" ht="17.25" x14ac:dyDescent="0.3">
      <c r="A7" s="89" t="str">
        <f>IF(Menu!$D$7="Português/Portuguese",B7,C7)</f>
        <v>Resultado de não controladoes</v>
      </c>
      <c r="B7" s="89" t="s">
        <v>307</v>
      </c>
      <c r="C7" s="89" t="s">
        <v>347</v>
      </c>
      <c r="D7" s="90"/>
      <c r="E7" s="91">
        <v>0</v>
      </c>
      <c r="F7" s="91">
        <v>0</v>
      </c>
      <c r="G7" s="91">
        <v>0</v>
      </c>
      <c r="H7" s="91">
        <v>0</v>
      </c>
      <c r="J7" s="91">
        <v>0</v>
      </c>
      <c r="K7" s="91">
        <v>0</v>
      </c>
      <c r="L7" s="91">
        <v>0</v>
      </c>
      <c r="M7" s="91">
        <v>0</v>
      </c>
      <c r="O7" s="91">
        <v>0</v>
      </c>
      <c r="P7" s="91">
        <v>0</v>
      </c>
      <c r="Q7" s="91">
        <v>0</v>
      </c>
      <c r="R7" s="91">
        <v>0</v>
      </c>
      <c r="T7" s="91">
        <v>0</v>
      </c>
      <c r="U7" s="91">
        <v>0</v>
      </c>
      <c r="V7" s="91">
        <v>0</v>
      </c>
      <c r="W7" s="91">
        <v>0</v>
      </c>
      <c r="Y7" s="91">
        <v>-28</v>
      </c>
      <c r="Z7" s="91">
        <v>148</v>
      </c>
      <c r="AA7" s="91">
        <v>198</v>
      </c>
      <c r="AB7" s="91">
        <v>170</v>
      </c>
      <c r="AD7" s="91">
        <v>241</v>
      </c>
      <c r="AE7" s="91">
        <v>251</v>
      </c>
      <c r="AF7" s="91"/>
      <c r="AG7" s="91"/>
    </row>
    <row r="8" spans="1:33" ht="17.25" x14ac:dyDescent="0.3">
      <c r="A8" s="89" t="str">
        <f>IF(Menu!$D$7="Português/Portuguese",B8,C8)</f>
        <v>Resultado de equivalência patrimonial</v>
      </c>
      <c r="B8" s="89" t="s">
        <v>202</v>
      </c>
      <c r="C8" s="89" t="s">
        <v>348</v>
      </c>
      <c r="D8" s="90"/>
      <c r="E8" s="91">
        <v>-6742</v>
      </c>
      <c r="F8" s="91">
        <v>-26613</v>
      </c>
      <c r="G8" s="91">
        <v>-52153</v>
      </c>
      <c r="H8" s="91">
        <v>-6547</v>
      </c>
      <c r="J8" s="91">
        <v>-11042</v>
      </c>
      <c r="K8" s="91">
        <v>-26596</v>
      </c>
      <c r="L8" s="91">
        <v>-46683</v>
      </c>
      <c r="M8" s="91">
        <v>-32241</v>
      </c>
      <c r="O8" s="91">
        <v>-14221</v>
      </c>
      <c r="P8" s="91">
        <v>-46017</v>
      </c>
      <c r="Q8" s="91">
        <v>-54529</v>
      </c>
      <c r="R8" s="91">
        <v>-37427</v>
      </c>
      <c r="T8" s="91">
        <v>-55310</v>
      </c>
      <c r="U8" s="91">
        <v>-63538</v>
      </c>
      <c r="V8" s="91">
        <v>-17755</v>
      </c>
      <c r="W8" s="91">
        <v>-45375</v>
      </c>
      <c r="Y8" s="91">
        <v>-37042</v>
      </c>
      <c r="Z8" s="91">
        <v>-73730</v>
      </c>
      <c r="AA8" s="91">
        <v>-60402</v>
      </c>
      <c r="AB8" s="91">
        <v>-54928</v>
      </c>
      <c r="AD8" s="91">
        <v>2976</v>
      </c>
      <c r="AE8" s="91">
        <v>-82621</v>
      </c>
      <c r="AF8" s="91"/>
      <c r="AG8" s="91"/>
    </row>
    <row r="9" spans="1:33" ht="17.25" x14ac:dyDescent="0.3">
      <c r="A9" s="89" t="str">
        <f>IF(Menu!$D$7="Português/Portuguese",B9,C9)</f>
        <v>Variações cambiais e monetárias</v>
      </c>
      <c r="B9" s="89" t="s">
        <v>308</v>
      </c>
      <c r="C9" s="89" t="s">
        <v>349</v>
      </c>
      <c r="D9" s="90"/>
      <c r="E9" s="91">
        <v>22256</v>
      </c>
      <c r="F9" s="91">
        <v>-20342</v>
      </c>
      <c r="G9" s="91">
        <v>162086</v>
      </c>
      <c r="H9" s="91">
        <v>98766</v>
      </c>
      <c r="J9" s="91">
        <v>-302848</v>
      </c>
      <c r="K9" s="91">
        <v>-31449</v>
      </c>
      <c r="L9" s="91">
        <v>26609</v>
      </c>
      <c r="M9" s="91">
        <v>127747</v>
      </c>
      <c r="O9" s="91">
        <v>35999</v>
      </c>
      <c r="P9" s="91">
        <v>-6667</v>
      </c>
      <c r="Q9" s="91">
        <v>30015</v>
      </c>
      <c r="R9" s="91">
        <v>-151707</v>
      </c>
      <c r="T9" s="91">
        <v>-77022</v>
      </c>
      <c r="U9" s="91">
        <v>-276345</v>
      </c>
      <c r="V9" s="91">
        <v>-247839</v>
      </c>
      <c r="W9" s="91">
        <v>522256</v>
      </c>
      <c r="Y9" s="91">
        <v>-237742</v>
      </c>
      <c r="Z9" s="91">
        <v>136600</v>
      </c>
      <c r="AA9" s="91">
        <v>11562</v>
      </c>
      <c r="AB9" s="91">
        <v>73551</v>
      </c>
      <c r="AD9" s="91">
        <v>-228845</v>
      </c>
      <c r="AE9" s="91">
        <v>96739</v>
      </c>
      <c r="AF9" s="91"/>
      <c r="AG9" s="91"/>
    </row>
    <row r="10" spans="1:33" ht="17.25" x14ac:dyDescent="0.3">
      <c r="A10" s="89" t="str">
        <f>IF(Menu!$D$7="Português/Portuguese",B10,C10)</f>
        <v>Despesa de juros sobre empréstimos e financiamentos</v>
      </c>
      <c r="B10" s="89" t="s">
        <v>309</v>
      </c>
      <c r="C10" s="89" t="s">
        <v>350</v>
      </c>
      <c r="D10" s="90"/>
      <c r="E10" s="91">
        <v>0</v>
      </c>
      <c r="F10" s="91">
        <v>0</v>
      </c>
      <c r="G10" s="91">
        <v>70787</v>
      </c>
      <c r="H10" s="91">
        <v>56315</v>
      </c>
      <c r="J10" s="91">
        <v>64991</v>
      </c>
      <c r="K10" s="91">
        <v>68604</v>
      </c>
      <c r="L10" s="91">
        <v>91249</v>
      </c>
      <c r="M10" s="91">
        <v>134646</v>
      </c>
      <c r="O10" s="91">
        <v>111061</v>
      </c>
      <c r="P10" s="91">
        <v>198084</v>
      </c>
      <c r="Q10" s="91">
        <v>166463</v>
      </c>
      <c r="R10" s="91">
        <v>153176</v>
      </c>
      <c r="T10" s="91">
        <v>154911</v>
      </c>
      <c r="U10" s="91">
        <v>171482</v>
      </c>
      <c r="V10" s="91">
        <v>163634</v>
      </c>
      <c r="W10" s="91">
        <v>168663</v>
      </c>
      <c r="Y10" s="91">
        <v>203446</v>
      </c>
      <c r="Z10" s="91">
        <v>150987</v>
      </c>
      <c r="AA10" s="91">
        <v>142134</v>
      </c>
      <c r="AB10" s="91">
        <v>162728</v>
      </c>
      <c r="AD10" s="91">
        <v>148859</v>
      </c>
      <c r="AE10" s="91">
        <v>113761</v>
      </c>
      <c r="AF10" s="91"/>
      <c r="AG10" s="91"/>
    </row>
    <row r="11" spans="1:33" ht="17.25" x14ac:dyDescent="0.3">
      <c r="A11" s="89" t="str">
        <f>IF(Menu!$D$7="Português/Portuguese",B11,C11)</f>
        <v>Juros capitalizados</v>
      </c>
      <c r="B11" s="89" t="s">
        <v>310</v>
      </c>
      <c r="C11" s="89" t="s">
        <v>351</v>
      </c>
      <c r="D11" s="90"/>
      <c r="E11" s="91">
        <v>0</v>
      </c>
      <c r="F11" s="91">
        <v>0</v>
      </c>
      <c r="G11" s="91">
        <v>-20073</v>
      </c>
      <c r="H11" s="91">
        <v>-21283</v>
      </c>
      <c r="J11" s="91">
        <v>-20470</v>
      </c>
      <c r="K11" s="91">
        <v>-24866</v>
      </c>
      <c r="L11" s="91">
        <v>-22797</v>
      </c>
      <c r="M11" s="91">
        <v>-26305</v>
      </c>
      <c r="O11" s="91">
        <v>-26692</v>
      </c>
      <c r="P11" s="91">
        <v>-28840</v>
      </c>
      <c r="Q11" s="91">
        <v>-31829</v>
      </c>
      <c r="R11" s="91">
        <v>-37264</v>
      </c>
      <c r="T11" s="91">
        <v>-22576</v>
      </c>
      <c r="U11" s="91">
        <v>-36822</v>
      </c>
      <c r="V11" s="91">
        <v>-24601</v>
      </c>
      <c r="W11" s="91">
        <v>-29048</v>
      </c>
      <c r="Y11" s="91">
        <v>-35346</v>
      </c>
      <c r="Z11" s="91">
        <v>-42092</v>
      </c>
      <c r="AA11" s="91">
        <v>-48105</v>
      </c>
      <c r="AB11" s="91">
        <v>-58292</v>
      </c>
      <c r="AD11" s="91">
        <v>-68466</v>
      </c>
      <c r="AE11" s="91">
        <v>-73487</v>
      </c>
      <c r="AF11" s="91"/>
      <c r="AG11" s="91"/>
    </row>
    <row r="12" spans="1:33" ht="17.25" collapsed="1" x14ac:dyDescent="0.3">
      <c r="A12" s="89" t="str">
        <f>IF(Menu!$D$7="Português/Portuguese",B12,C12)</f>
        <v xml:space="preserve">Juros de arrendamentos </v>
      </c>
      <c r="B12" s="89" t="s">
        <v>311</v>
      </c>
      <c r="C12" s="89" t="s">
        <v>352</v>
      </c>
      <c r="D12" s="90"/>
      <c r="E12" s="91">
        <v>1781</v>
      </c>
      <c r="F12" s="91">
        <v>1743</v>
      </c>
      <c r="G12" s="91">
        <v>2476</v>
      </c>
      <c r="H12" s="91">
        <v>3082</v>
      </c>
      <c r="J12" s="91">
        <v>2157</v>
      </c>
      <c r="K12" s="91">
        <v>3632</v>
      </c>
      <c r="L12" s="91">
        <v>3018</v>
      </c>
      <c r="M12" s="91">
        <v>2901</v>
      </c>
      <c r="O12" s="91">
        <v>2787</v>
      </c>
      <c r="P12" s="91">
        <v>2684</v>
      </c>
      <c r="Q12" s="91">
        <v>2544</v>
      </c>
      <c r="R12" s="91">
        <v>2507</v>
      </c>
      <c r="T12" s="91">
        <v>2489</v>
      </c>
      <c r="U12" s="91">
        <v>3320</v>
      </c>
      <c r="V12" s="91">
        <v>2703</v>
      </c>
      <c r="W12" s="91">
        <v>2841</v>
      </c>
      <c r="Y12" s="91">
        <v>2874</v>
      </c>
      <c r="Z12" s="91">
        <v>2651</v>
      </c>
      <c r="AA12" s="91">
        <v>2486</v>
      </c>
      <c r="AB12" s="91">
        <v>3022</v>
      </c>
      <c r="AD12" s="91">
        <v>4034</v>
      </c>
      <c r="AE12" s="91">
        <v>3697</v>
      </c>
      <c r="AF12" s="91"/>
      <c r="AG12" s="91"/>
    </row>
    <row r="13" spans="1:33" ht="17.25" x14ac:dyDescent="0.3">
      <c r="A13" s="89" t="str">
        <f>IF(Menu!$D$7="Português/Portuguese",B13,C13)</f>
        <v>Perdas com instrumento derivativo</v>
      </c>
      <c r="B13" s="89" t="s">
        <v>312</v>
      </c>
      <c r="C13" s="89" t="s">
        <v>353</v>
      </c>
      <c r="D13" s="90"/>
      <c r="E13" s="91">
        <v>64130</v>
      </c>
      <c r="F13" s="91">
        <v>259796</v>
      </c>
      <c r="G13" s="91">
        <v>-309197</v>
      </c>
      <c r="H13" s="91">
        <v>0</v>
      </c>
      <c r="J13" s="91">
        <v>0</v>
      </c>
      <c r="K13" s="91">
        <v>-22286</v>
      </c>
      <c r="L13" s="91">
        <v>47229</v>
      </c>
      <c r="M13" s="91">
        <v>75667</v>
      </c>
      <c r="O13" s="91">
        <v>554188</v>
      </c>
      <c r="P13" s="91">
        <v>-342909</v>
      </c>
      <c r="Q13" s="91">
        <v>82196</v>
      </c>
      <c r="R13" s="91">
        <v>439849</v>
      </c>
      <c r="T13" s="91">
        <v>-86497</v>
      </c>
      <c r="U13" s="91">
        <v>95678</v>
      </c>
      <c r="V13" s="91">
        <v>297111</v>
      </c>
      <c r="W13" s="91">
        <v>0</v>
      </c>
      <c r="Y13" s="91">
        <v>21809</v>
      </c>
      <c r="Z13" s="91">
        <v>-46845</v>
      </c>
      <c r="AA13" s="91">
        <v>93499</v>
      </c>
      <c r="AB13" s="91">
        <v>30234</v>
      </c>
      <c r="AD13" s="91">
        <v>82394</v>
      </c>
      <c r="AE13" s="91">
        <v>-83841</v>
      </c>
      <c r="AF13" s="91"/>
      <c r="AG13" s="91"/>
    </row>
    <row r="14" spans="1:33" ht="17.25" x14ac:dyDescent="0.3">
      <c r="A14" s="89" t="str">
        <f>IF(Menu!$D$7="Português/Portuguese",B14,C14)</f>
        <v>Amortização custo de transação</v>
      </c>
      <c r="B14" s="89" t="s">
        <v>313</v>
      </c>
      <c r="C14" s="89" t="s">
        <v>354</v>
      </c>
      <c r="D14" s="90"/>
      <c r="E14" s="91">
        <v>0</v>
      </c>
      <c r="F14" s="91">
        <v>0</v>
      </c>
      <c r="G14" s="91">
        <v>3938</v>
      </c>
      <c r="H14" s="91">
        <v>3394</v>
      </c>
      <c r="J14" s="91">
        <v>3461</v>
      </c>
      <c r="K14" s="91">
        <v>4578</v>
      </c>
      <c r="L14" s="91">
        <v>6915</v>
      </c>
      <c r="M14" s="91">
        <v>5081</v>
      </c>
      <c r="O14" s="91">
        <v>11668</v>
      </c>
      <c r="P14" s="91">
        <v>7882</v>
      </c>
      <c r="Q14" s="91">
        <v>10396</v>
      </c>
      <c r="R14" s="91">
        <v>11115</v>
      </c>
      <c r="T14" s="91">
        <v>10936</v>
      </c>
      <c r="U14" s="91">
        <v>11389</v>
      </c>
      <c r="V14" s="91">
        <v>12018</v>
      </c>
      <c r="W14" s="91">
        <v>13937</v>
      </c>
      <c r="Y14" s="91">
        <v>9032</v>
      </c>
      <c r="Z14" s="91">
        <v>11740</v>
      </c>
      <c r="AA14" s="91">
        <v>12091</v>
      </c>
      <c r="AB14" s="91">
        <v>14319</v>
      </c>
      <c r="AD14" s="91">
        <v>14319</v>
      </c>
      <c r="AE14" s="91">
        <v>14317</v>
      </c>
      <c r="AF14" s="91"/>
      <c r="AG14" s="91"/>
    </row>
    <row r="15" spans="1:33" ht="17.25" x14ac:dyDescent="0.3">
      <c r="A15" s="89" t="str">
        <f>IF(Menu!$D$7="Português/Portuguese",B15,C15)</f>
        <v>Depreciações e amortizações</v>
      </c>
      <c r="B15" s="89" t="s">
        <v>314</v>
      </c>
      <c r="C15" s="89" t="s">
        <v>355</v>
      </c>
      <c r="D15" s="90"/>
      <c r="E15" s="91">
        <v>154026</v>
      </c>
      <c r="F15" s="91">
        <v>177493</v>
      </c>
      <c r="G15" s="91">
        <v>192356</v>
      </c>
      <c r="H15" s="91">
        <v>228235</v>
      </c>
      <c r="J15" s="91">
        <v>239125</v>
      </c>
      <c r="K15" s="91">
        <v>239063</v>
      </c>
      <c r="L15" s="91">
        <v>249483</v>
      </c>
      <c r="M15" s="91">
        <v>272598</v>
      </c>
      <c r="O15" s="91">
        <v>252932</v>
      </c>
      <c r="P15" s="91">
        <v>249807</v>
      </c>
      <c r="Q15" s="91">
        <v>264601</v>
      </c>
      <c r="R15" s="91">
        <v>274789</v>
      </c>
      <c r="T15" s="91">
        <v>283652</v>
      </c>
      <c r="U15" s="91">
        <v>295416</v>
      </c>
      <c r="V15" s="91">
        <v>288394</v>
      </c>
      <c r="W15" s="91">
        <v>283014</v>
      </c>
      <c r="Y15" s="91">
        <v>312226</v>
      </c>
      <c r="Z15" s="91">
        <v>317671</v>
      </c>
      <c r="AA15" s="91">
        <v>319845</v>
      </c>
      <c r="AB15" s="91">
        <v>326251</v>
      </c>
      <c r="AD15" s="91">
        <v>356867</v>
      </c>
      <c r="AE15" s="91">
        <v>358747</v>
      </c>
      <c r="AF15" s="91"/>
      <c r="AG15" s="91"/>
    </row>
    <row r="16" spans="1:33" ht="17.25" collapsed="1" x14ac:dyDescent="0.3">
      <c r="A16" s="89" t="str">
        <f>IF(Menu!$D$7="Português/Portuguese",B16,C16)</f>
        <v>Imposto de renda e contribuição social correntes e diferidos</v>
      </c>
      <c r="B16" s="89" t="s">
        <v>315</v>
      </c>
      <c r="C16" s="89" t="s">
        <v>356</v>
      </c>
      <c r="D16" s="90"/>
      <c r="E16" s="91">
        <v>1122276</v>
      </c>
      <c r="F16" s="91">
        <v>1333984</v>
      </c>
      <c r="G16" s="91">
        <v>361603</v>
      </c>
      <c r="H16" s="91">
        <v>15815</v>
      </c>
      <c r="J16" s="91">
        <v>365540</v>
      </c>
      <c r="K16" s="91">
        <v>406200</v>
      </c>
      <c r="L16" s="91">
        <v>232956</v>
      </c>
      <c r="M16" s="91">
        <v>25408</v>
      </c>
      <c r="O16" s="91">
        <v>251589</v>
      </c>
      <c r="P16" s="91">
        <v>84514</v>
      </c>
      <c r="Q16" s="91">
        <v>573961</v>
      </c>
      <c r="R16" s="91">
        <v>327756</v>
      </c>
      <c r="T16" s="91">
        <v>232622</v>
      </c>
      <c r="U16" s="91">
        <v>-13302</v>
      </c>
      <c r="V16" s="91">
        <v>632872</v>
      </c>
      <c r="W16" s="91">
        <v>369215</v>
      </c>
      <c r="Y16" s="91">
        <v>165603</v>
      </c>
      <c r="Z16" s="91">
        <v>66352</v>
      </c>
      <c r="AA16" s="91">
        <v>360548</v>
      </c>
      <c r="AB16" s="91">
        <v>206679</v>
      </c>
      <c r="AD16" s="91">
        <v>75991</v>
      </c>
      <c r="AE16" s="91">
        <v>52599</v>
      </c>
      <c r="AF16" s="91"/>
      <c r="AG16" s="91"/>
    </row>
    <row r="17" spans="1:33" ht="17.25" x14ac:dyDescent="0.3">
      <c r="A17" s="89" t="str">
        <f>IF(Menu!$D$7="Português/Portuguese",B17,C17)</f>
        <v>Resultado na baixa ou alienação de bens</v>
      </c>
      <c r="B17" s="89" t="s">
        <v>316</v>
      </c>
      <c r="C17" s="89" t="s">
        <v>357</v>
      </c>
      <c r="D17" s="90"/>
      <c r="E17" s="91">
        <v>0</v>
      </c>
      <c r="F17" s="91">
        <v>0</v>
      </c>
      <c r="G17" s="91">
        <v>20</v>
      </c>
      <c r="H17" s="91">
        <v>37815</v>
      </c>
      <c r="J17" s="91">
        <v>4211</v>
      </c>
      <c r="K17" s="91">
        <v>607</v>
      </c>
      <c r="L17" s="91">
        <v>3385</v>
      </c>
      <c r="M17" s="91">
        <v>-30649</v>
      </c>
      <c r="O17" s="91">
        <v>-504</v>
      </c>
      <c r="P17" s="91">
        <v>1262</v>
      </c>
      <c r="Q17" s="91">
        <v>1276</v>
      </c>
      <c r="R17" s="91">
        <v>-2838</v>
      </c>
      <c r="T17" s="91">
        <v>4098</v>
      </c>
      <c r="U17" s="91">
        <v>805</v>
      </c>
      <c r="V17" s="91">
        <v>1561</v>
      </c>
      <c r="W17" s="91">
        <v>4158</v>
      </c>
      <c r="Y17" s="91">
        <v>1452</v>
      </c>
      <c r="Z17" s="91">
        <v>18203</v>
      </c>
      <c r="AA17" s="91">
        <v>13475</v>
      </c>
      <c r="AB17" s="91">
        <v>4481</v>
      </c>
      <c r="AD17" s="91">
        <v>81</v>
      </c>
      <c r="AE17" s="91">
        <v>9985</v>
      </c>
      <c r="AF17" s="91"/>
      <c r="AG17" s="91"/>
    </row>
    <row r="18" spans="1:33" ht="17.25" x14ac:dyDescent="0.3">
      <c r="A18" s="89" t="str">
        <f>IF(Menu!$D$7="Português/Portuguese",B18,C18)</f>
        <v>Outros</v>
      </c>
      <c r="B18" s="89" t="s">
        <v>123</v>
      </c>
      <c r="C18" s="89" t="s">
        <v>358</v>
      </c>
      <c r="D18" s="90"/>
      <c r="E18" s="91">
        <v>-11006</v>
      </c>
      <c r="F18" s="91">
        <v>557</v>
      </c>
      <c r="G18" s="91">
        <v>-10618</v>
      </c>
      <c r="H18" s="91">
        <v>-3327</v>
      </c>
      <c r="J18" s="91">
        <v>-7267</v>
      </c>
      <c r="K18" s="91">
        <v>-214</v>
      </c>
      <c r="L18" s="91">
        <v>-10740</v>
      </c>
      <c r="M18" s="91">
        <v>-13626</v>
      </c>
      <c r="O18" s="91">
        <v>-10956</v>
      </c>
      <c r="P18" s="91">
        <v>-12788</v>
      </c>
      <c r="Q18" s="91">
        <v>-21763</v>
      </c>
      <c r="R18" s="91">
        <v>114735</v>
      </c>
      <c r="T18" s="91">
        <v>67634</v>
      </c>
      <c r="U18" s="91">
        <v>27105</v>
      </c>
      <c r="V18" s="91">
        <v>-60736</v>
      </c>
      <c r="W18" s="91">
        <v>-34153</v>
      </c>
      <c r="Y18" s="91">
        <v>0</v>
      </c>
      <c r="Z18" s="91">
        <v>0</v>
      </c>
      <c r="AA18" s="91">
        <v>0</v>
      </c>
      <c r="AB18" s="91">
        <v>0</v>
      </c>
      <c r="AD18" s="91">
        <v>0</v>
      </c>
      <c r="AE18" s="91">
        <v>-24858</v>
      </c>
      <c r="AF18" s="91"/>
      <c r="AG18" s="91"/>
    </row>
    <row r="19" spans="1:33" ht="15.75" x14ac:dyDescent="0.25">
      <c r="A19" s="93" t="str">
        <f>IF(Menu!$D$7="Português/Portuguese",B19,C19)</f>
        <v>Variação dos ativos e passivos</v>
      </c>
      <c r="B19" s="93" t="s">
        <v>201</v>
      </c>
      <c r="C19" s="93" t="s">
        <v>359</v>
      </c>
      <c r="D19" s="94"/>
      <c r="E19" s="95">
        <v>11180</v>
      </c>
      <c r="F19" s="95">
        <v>-1333903</v>
      </c>
      <c r="G19" s="95">
        <v>3355221</v>
      </c>
      <c r="H19" s="95">
        <v>-892292</v>
      </c>
      <c r="J19" s="95">
        <v>-2600538</v>
      </c>
      <c r="K19" s="95">
        <v>1004062</v>
      </c>
      <c r="L19" s="95">
        <f t="shared" ref="L19" si="1">SUM(L20:L33)</f>
        <v>482682</v>
      </c>
      <c r="M19" s="95">
        <v>-1360767</v>
      </c>
      <c r="O19" s="95">
        <v>1387699</v>
      </c>
      <c r="P19" s="95">
        <v>1632495</v>
      </c>
      <c r="Q19" s="95">
        <v>787014</v>
      </c>
      <c r="R19" s="95">
        <v>-747497</v>
      </c>
      <c r="T19" s="95">
        <v>272145</v>
      </c>
      <c r="U19" s="95">
        <v>1574978</v>
      </c>
      <c r="V19" s="95">
        <v>3199957</v>
      </c>
      <c r="W19" s="95">
        <v>1115568</v>
      </c>
      <c r="Y19" s="95">
        <v>-430672</v>
      </c>
      <c r="Z19" s="95">
        <v>329561</v>
      </c>
      <c r="AA19" s="95">
        <v>131491</v>
      </c>
      <c r="AB19" s="95">
        <v>-958647</v>
      </c>
      <c r="AD19" s="95">
        <f>SUM(AD20:AD33)</f>
        <v>-171292</v>
      </c>
      <c r="AE19" s="95">
        <f>SUM(AE20:AE33)</f>
        <v>-401568</v>
      </c>
      <c r="AF19" s="95"/>
      <c r="AG19" s="95"/>
    </row>
    <row r="20" spans="1:33" ht="17.25" outlineLevel="1" x14ac:dyDescent="0.3">
      <c r="A20" s="89" t="str">
        <f>IF(Menu!$D$7="Português/Portuguese",B20,C20)</f>
        <v>Contas a receber de clientes</v>
      </c>
      <c r="B20" s="89" t="s">
        <v>317</v>
      </c>
      <c r="C20" s="89" t="s">
        <v>360</v>
      </c>
      <c r="D20" s="90"/>
      <c r="E20" s="91">
        <v>164377</v>
      </c>
      <c r="F20" s="91">
        <v>-1006961</v>
      </c>
      <c r="G20" s="91">
        <v>2827588</v>
      </c>
      <c r="H20" s="91">
        <v>118008</v>
      </c>
      <c r="J20" s="91">
        <v>-1369718</v>
      </c>
      <c r="K20" s="91">
        <v>1355363</v>
      </c>
      <c r="L20" s="91">
        <v>24069</v>
      </c>
      <c r="M20" s="91">
        <v>-916691</v>
      </c>
      <c r="O20" s="91">
        <v>-32051</v>
      </c>
      <c r="P20" s="91">
        <v>735915</v>
      </c>
      <c r="Q20" s="91">
        <v>-505451</v>
      </c>
      <c r="R20" s="91">
        <v>-281310</v>
      </c>
      <c r="T20" s="91">
        <v>1290464</v>
      </c>
      <c r="U20" s="91">
        <v>-480918</v>
      </c>
      <c r="V20" s="91">
        <v>161281</v>
      </c>
      <c r="W20" s="91">
        <v>-743162</v>
      </c>
      <c r="X20" s="91"/>
      <c r="Y20" s="91">
        <v>515735</v>
      </c>
      <c r="Z20" s="91">
        <v>71969</v>
      </c>
      <c r="AA20" s="91">
        <v>-641942</v>
      </c>
      <c r="AB20" s="91">
        <v>-363310</v>
      </c>
      <c r="AC20" s="91"/>
      <c r="AD20" s="91">
        <v>-301431</v>
      </c>
      <c r="AE20" s="91">
        <v>368539</v>
      </c>
      <c r="AF20" s="91"/>
      <c r="AG20" s="91"/>
    </row>
    <row r="21" spans="1:33" ht="17.25" outlineLevel="1" x14ac:dyDescent="0.3">
      <c r="A21" s="89" t="str">
        <f>IF(Menu!$D$7="Português/Portuguese",B21,C21)</f>
        <v>Estoques</v>
      </c>
      <c r="B21" s="89" t="s">
        <v>127</v>
      </c>
      <c r="C21" s="89" t="s">
        <v>200</v>
      </c>
      <c r="D21" s="90"/>
      <c r="E21" s="91">
        <v>-130053</v>
      </c>
      <c r="F21" s="91">
        <v>-387678</v>
      </c>
      <c r="G21" s="91">
        <v>-367127</v>
      </c>
      <c r="H21" s="91">
        <v>141172</v>
      </c>
      <c r="J21" s="91">
        <v>-12727</v>
      </c>
      <c r="K21" s="91">
        <v>-140103</v>
      </c>
      <c r="L21" s="91">
        <v>-96326</v>
      </c>
      <c r="M21" s="91">
        <v>-204296</v>
      </c>
      <c r="O21" s="91">
        <v>-310776</v>
      </c>
      <c r="P21" s="91">
        <v>-33039</v>
      </c>
      <c r="Q21" s="91">
        <v>80514</v>
      </c>
      <c r="R21" s="91">
        <v>-119897</v>
      </c>
      <c r="T21" s="91">
        <v>90405</v>
      </c>
      <c r="U21" s="91">
        <v>-35307</v>
      </c>
      <c r="V21" s="91">
        <v>-131453</v>
      </c>
      <c r="W21" s="91">
        <v>-114583</v>
      </c>
      <c r="X21" s="91"/>
      <c r="Y21" s="91">
        <v>-168722</v>
      </c>
      <c r="Z21" s="91">
        <v>-116356</v>
      </c>
      <c r="AA21" s="91">
        <v>-25526</v>
      </c>
      <c r="AB21" s="91">
        <v>-49324</v>
      </c>
      <c r="AC21" s="91"/>
      <c r="AD21" s="91">
        <v>-71600</v>
      </c>
      <c r="AE21" s="91">
        <v>-45532</v>
      </c>
      <c r="AF21" s="91"/>
      <c r="AG21" s="91"/>
    </row>
    <row r="22" spans="1:33" ht="17.25" outlineLevel="1" x14ac:dyDescent="0.3">
      <c r="A22" s="89" t="str">
        <f>IF(Menu!$D$7="Português/Portuguese",B22,C22)</f>
        <v>Tributos a recuperar</v>
      </c>
      <c r="B22" s="89" t="s">
        <v>318</v>
      </c>
      <c r="C22" s="89" t="s">
        <v>130</v>
      </c>
      <c r="D22" s="90"/>
      <c r="E22" s="91">
        <v>36180</v>
      </c>
      <c r="F22" s="91">
        <v>-28000</v>
      </c>
      <c r="G22" s="91">
        <v>-31341</v>
      </c>
      <c r="H22" s="91">
        <v>-56510</v>
      </c>
      <c r="J22" s="91">
        <v>-9497</v>
      </c>
      <c r="K22" s="91">
        <v>-133</v>
      </c>
      <c r="L22" s="91">
        <v>-17087</v>
      </c>
      <c r="M22" s="91">
        <v>-38407</v>
      </c>
      <c r="O22" s="91">
        <v>-37171</v>
      </c>
      <c r="P22" s="91">
        <v>-71427</v>
      </c>
      <c r="Q22" s="91">
        <v>-15218</v>
      </c>
      <c r="R22" s="91">
        <v>-102987</v>
      </c>
      <c r="T22" s="91">
        <v>175023</v>
      </c>
      <c r="U22" s="91">
        <v>-45975</v>
      </c>
      <c r="V22" s="91">
        <v>-210479</v>
      </c>
      <c r="W22" s="91">
        <v>248186</v>
      </c>
      <c r="X22" s="91"/>
      <c r="Y22" s="91">
        <v>-83752</v>
      </c>
      <c r="Z22" s="91">
        <v>-55530</v>
      </c>
      <c r="AA22" s="91">
        <v>-154428</v>
      </c>
      <c r="AB22" s="91">
        <v>-10259</v>
      </c>
      <c r="AC22" s="91"/>
      <c r="AD22" s="91">
        <v>-48459</v>
      </c>
      <c r="AE22" s="91">
        <v>-198075</v>
      </c>
      <c r="AF22" s="91"/>
      <c r="AG22" s="91"/>
    </row>
    <row r="23" spans="1:33" ht="17.25" outlineLevel="1" x14ac:dyDescent="0.3">
      <c r="A23" s="89" t="str">
        <f>IF(Menu!$D$7="Português/Portuguese",B23,C23)</f>
        <v>Outros ativos</v>
      </c>
      <c r="B23" s="89" t="s">
        <v>224</v>
      </c>
      <c r="C23" s="89" t="s">
        <v>249</v>
      </c>
      <c r="D23" s="96"/>
      <c r="E23" s="91">
        <v>-76572</v>
      </c>
      <c r="F23" s="91">
        <v>82825</v>
      </c>
      <c r="G23" s="91">
        <v>-312535</v>
      </c>
      <c r="H23" s="91">
        <v>90020</v>
      </c>
      <c r="J23" s="91">
        <v>-9075</v>
      </c>
      <c r="K23" s="91">
        <v>-1818</v>
      </c>
      <c r="L23" s="91">
        <v>-2577</v>
      </c>
      <c r="M23" s="91">
        <v>-19322</v>
      </c>
      <c r="O23" s="91">
        <v>-3299</v>
      </c>
      <c r="P23" s="91">
        <v>-8529</v>
      </c>
      <c r="Q23" s="91">
        <v>-3889</v>
      </c>
      <c r="R23" s="91">
        <v>-63644</v>
      </c>
      <c r="T23" s="91">
        <v>-42351</v>
      </c>
      <c r="U23" s="91">
        <v>24785</v>
      </c>
      <c r="V23" s="91">
        <v>210054</v>
      </c>
      <c r="W23" s="91">
        <v>-538811</v>
      </c>
      <c r="X23" s="91"/>
      <c r="Y23" s="91">
        <v>128997</v>
      </c>
      <c r="Z23" s="91">
        <v>-115670</v>
      </c>
      <c r="AA23" s="91">
        <v>-6145</v>
      </c>
      <c r="AB23" s="91">
        <v>33388</v>
      </c>
      <c r="AC23" s="91"/>
      <c r="AD23" s="91">
        <v>-113653</v>
      </c>
      <c r="AE23" s="91">
        <v>5873</v>
      </c>
      <c r="AF23" s="91"/>
      <c r="AG23" s="91"/>
    </row>
    <row r="24" spans="1:33" ht="17.25" outlineLevel="1" x14ac:dyDescent="0.3">
      <c r="A24" s="89" t="str">
        <f>IF(Menu!$D$7="Português/Portuguese",B24,C24)</f>
        <v xml:space="preserve">Adiantamento Fornecedor - CSN </v>
      </c>
      <c r="B24" s="89" t="s">
        <v>319</v>
      </c>
      <c r="C24" s="89" t="s">
        <v>361</v>
      </c>
      <c r="D24" s="97"/>
      <c r="E24" s="91">
        <v>21988</v>
      </c>
      <c r="F24" s="91">
        <v>25365</v>
      </c>
      <c r="G24" s="91">
        <v>29889</v>
      </c>
      <c r="H24" s="91">
        <v>17998</v>
      </c>
      <c r="J24" s="91">
        <v>18484</v>
      </c>
      <c r="K24" s="91">
        <v>17162</v>
      </c>
      <c r="L24" s="91">
        <v>20652</v>
      </c>
      <c r="M24" s="91">
        <v>22165</v>
      </c>
      <c r="O24" s="91">
        <v>29414</v>
      </c>
      <c r="P24" s="91">
        <v>33893</v>
      </c>
      <c r="Q24" s="91">
        <v>29485</v>
      </c>
      <c r="R24" s="91">
        <v>35879</v>
      </c>
      <c r="T24" s="91">
        <v>8326</v>
      </c>
      <c r="U24" s="91">
        <v>0</v>
      </c>
      <c r="V24" s="91">
        <v>-582016</v>
      </c>
      <c r="W24" s="91">
        <v>50582</v>
      </c>
      <c r="X24" s="91"/>
      <c r="Y24" s="91">
        <v>-61491</v>
      </c>
      <c r="Z24" s="91">
        <v>-28828</v>
      </c>
      <c r="AA24" s="91">
        <v>10645</v>
      </c>
      <c r="AB24" s="91">
        <v>52562</v>
      </c>
      <c r="AC24" s="91"/>
      <c r="AD24" s="91">
        <v>21173</v>
      </c>
      <c r="AE24" s="91">
        <v>46792</v>
      </c>
      <c r="AF24" s="91"/>
      <c r="AG24" s="91"/>
    </row>
    <row r="25" spans="1:33" ht="17.25" outlineLevel="1" x14ac:dyDescent="0.3">
      <c r="A25" s="89" t="str">
        <f>IF(Menu!$D$7="Português/Portuguese",B25,C25)</f>
        <v>Fornecedores</v>
      </c>
      <c r="B25" s="89" t="s">
        <v>110</v>
      </c>
      <c r="C25" s="89" t="s">
        <v>265</v>
      </c>
      <c r="E25" s="91">
        <v>191652</v>
      </c>
      <c r="F25" s="91">
        <v>298097</v>
      </c>
      <c r="G25" s="91">
        <v>-537213</v>
      </c>
      <c r="H25" s="91">
        <v>-339442</v>
      </c>
      <c r="J25" s="91">
        <v>-66054</v>
      </c>
      <c r="K25" s="91">
        <v>21623</v>
      </c>
      <c r="L25" s="91">
        <v>67031</v>
      </c>
      <c r="M25" s="91">
        <v>374592</v>
      </c>
      <c r="O25" s="91">
        <v>-49561</v>
      </c>
      <c r="P25" s="91">
        <v>194700</v>
      </c>
      <c r="Q25" s="91">
        <v>-113</v>
      </c>
      <c r="R25" s="91">
        <v>287575</v>
      </c>
      <c r="T25" s="91">
        <v>-560400</v>
      </c>
      <c r="U25" s="91">
        <v>672762</v>
      </c>
      <c r="V25" s="91">
        <v>25148</v>
      </c>
      <c r="W25" s="91">
        <v>109584</v>
      </c>
      <c r="X25" s="91"/>
      <c r="Y25" s="91">
        <v>-312690</v>
      </c>
      <c r="Z25" s="91">
        <v>192103</v>
      </c>
      <c r="AA25" s="91">
        <v>192318</v>
      </c>
      <c r="AB25" s="91">
        <v>-4061</v>
      </c>
      <c r="AC25" s="91"/>
      <c r="AD25" s="91">
        <v>-495985</v>
      </c>
      <c r="AE25" s="91">
        <v>458429</v>
      </c>
      <c r="AF25" s="91"/>
      <c r="AG25" s="91"/>
    </row>
    <row r="26" spans="1:33" ht="17.25" outlineLevel="1" x14ac:dyDescent="0.3">
      <c r="A26" s="89" t="str">
        <f>IF(Menu!$D$7="Português/Portuguese",B26,C26)</f>
        <v>Salários, provisões e contribuições sociais</v>
      </c>
      <c r="B26" s="89" t="s">
        <v>320</v>
      </c>
      <c r="C26" s="89" t="s">
        <v>362</v>
      </c>
      <c r="D26" s="90"/>
      <c r="E26" s="91">
        <v>3260</v>
      </c>
      <c r="F26" s="91">
        <v>15702</v>
      </c>
      <c r="G26" s="91">
        <v>13391</v>
      </c>
      <c r="H26" s="91">
        <v>-22984</v>
      </c>
      <c r="J26" s="91">
        <v>3797</v>
      </c>
      <c r="K26" s="91">
        <v>16499</v>
      </c>
      <c r="L26" s="91">
        <v>7551</v>
      </c>
      <c r="M26" s="91">
        <v>-21335</v>
      </c>
      <c r="O26" s="91">
        <v>1004</v>
      </c>
      <c r="P26" s="91">
        <v>17780</v>
      </c>
      <c r="Q26" s="91">
        <v>13724</v>
      </c>
      <c r="R26" s="91">
        <v>-21731</v>
      </c>
      <c r="T26" s="91">
        <v>2169</v>
      </c>
      <c r="U26" s="91">
        <v>22186</v>
      </c>
      <c r="V26" s="91">
        <v>12569</v>
      </c>
      <c r="W26" s="91">
        <v>-28462</v>
      </c>
      <c r="X26" s="91"/>
      <c r="Y26" s="91">
        <v>5205</v>
      </c>
      <c r="Z26" s="91">
        <v>21127</v>
      </c>
      <c r="AA26" s="91">
        <v>6839</v>
      </c>
      <c r="AB26" s="91">
        <v>-29172</v>
      </c>
      <c r="AC26" s="91"/>
      <c r="AD26" s="91">
        <v>3233</v>
      </c>
      <c r="AE26" s="91">
        <v>20190</v>
      </c>
      <c r="AF26" s="91"/>
      <c r="AG26" s="91"/>
    </row>
    <row r="27" spans="1:33" ht="17.25" outlineLevel="1" x14ac:dyDescent="0.3">
      <c r="A27" s="89" t="str">
        <f>IF(Menu!$D$7="Português/Portuguese",B27,C27)</f>
        <v>Tributos a recolher</v>
      </c>
      <c r="B27" s="89" t="s">
        <v>321</v>
      </c>
      <c r="C27" s="89" t="s">
        <v>267</v>
      </c>
      <c r="D27" s="90"/>
      <c r="E27" s="91">
        <v>19270</v>
      </c>
      <c r="F27" s="91">
        <v>13201</v>
      </c>
      <c r="G27" s="91">
        <v>-51259</v>
      </c>
      <c r="H27" s="91">
        <v>-78139</v>
      </c>
      <c r="J27" s="91">
        <v>62690</v>
      </c>
      <c r="K27" s="91">
        <v>-94101</v>
      </c>
      <c r="L27" s="91">
        <v>129141</v>
      </c>
      <c r="M27" s="91">
        <v>-52862</v>
      </c>
      <c r="O27" s="91">
        <v>-7456</v>
      </c>
      <c r="P27" s="91">
        <v>27090</v>
      </c>
      <c r="Q27" s="91">
        <v>-18742</v>
      </c>
      <c r="R27" s="91">
        <v>-87276</v>
      </c>
      <c r="T27" s="91">
        <v>132760</v>
      </c>
      <c r="U27" s="91">
        <v>-112083</v>
      </c>
      <c r="V27" s="91">
        <v>-351064</v>
      </c>
      <c r="W27" s="91">
        <v>182851</v>
      </c>
      <c r="X27" s="91"/>
      <c r="Y27" s="91">
        <v>-9078</v>
      </c>
      <c r="Z27" s="91">
        <v>-50099</v>
      </c>
      <c r="AA27" s="91">
        <v>-2766</v>
      </c>
      <c r="AB27" s="91">
        <v>38687</v>
      </c>
      <c r="AC27" s="91"/>
      <c r="AD27" s="91">
        <v>-30991</v>
      </c>
      <c r="AE27" s="91">
        <v>-27398</v>
      </c>
      <c r="AF27" s="91"/>
      <c r="AG27" s="91"/>
    </row>
    <row r="28" spans="1:33" ht="17.25" outlineLevel="1" x14ac:dyDescent="0.3">
      <c r="A28" s="89" t="str">
        <f>IF(Menu!$D$7="Português/Portuguese",B28,C28)</f>
        <v xml:space="preserve">Adiantamento Cliente - Minério de Ferro </v>
      </c>
      <c r="B28" s="89" t="s">
        <v>322</v>
      </c>
      <c r="C28" s="89" t="s">
        <v>363</v>
      </c>
      <c r="D28" s="90"/>
      <c r="E28" s="91">
        <v>-149885</v>
      </c>
      <c r="F28" s="91">
        <v>-194691</v>
      </c>
      <c r="G28" s="91">
        <v>-136856</v>
      </c>
      <c r="H28" s="91">
        <v>-215706</v>
      </c>
      <c r="J28" s="91">
        <v>-144851</v>
      </c>
      <c r="K28" s="91">
        <v>-248154</v>
      </c>
      <c r="L28" s="91">
        <v>-288369</v>
      </c>
      <c r="M28" s="91">
        <v>-181998</v>
      </c>
      <c r="O28" s="91">
        <v>2406978</v>
      </c>
      <c r="P28" s="91">
        <v>817395</v>
      </c>
      <c r="Q28" s="91">
        <v>1191445</v>
      </c>
      <c r="R28" s="91">
        <v>-180371</v>
      </c>
      <c r="T28" s="91">
        <v>-266020</v>
      </c>
      <c r="U28" s="91">
        <v>1037665</v>
      </c>
      <c r="V28" s="91">
        <v>3666573</v>
      </c>
      <c r="W28" s="91">
        <v>2003128</v>
      </c>
      <c r="X28" s="91"/>
      <c r="Y28" s="91">
        <v>-469992</v>
      </c>
      <c r="Z28" s="91">
        <v>408226</v>
      </c>
      <c r="AA28" s="91">
        <v>721991</v>
      </c>
      <c r="AB28" s="91">
        <v>-688056</v>
      </c>
      <c r="AC28" s="91"/>
      <c r="AD28" s="91">
        <v>983758</v>
      </c>
      <c r="AE28" s="91">
        <v>-1090787</v>
      </c>
      <c r="AF28" s="91"/>
      <c r="AG28" s="91"/>
    </row>
    <row r="29" spans="1:33" ht="17.25" outlineLevel="1" x14ac:dyDescent="0.3">
      <c r="A29" s="89" t="str">
        <f>IF(Menu!$D$7="Português/Portuguese",B29,C29)</f>
        <v>Adiantamento - Contratos de Energia</v>
      </c>
      <c r="B29" s="89" t="s">
        <v>323</v>
      </c>
      <c r="C29" s="89" t="s">
        <v>364</v>
      </c>
      <c r="D29" s="90"/>
      <c r="E29" s="91">
        <v>0</v>
      </c>
      <c r="F29" s="91">
        <v>0</v>
      </c>
      <c r="G29" s="91">
        <v>0</v>
      </c>
      <c r="H29" s="91">
        <v>0</v>
      </c>
      <c r="J29" s="91">
        <v>0</v>
      </c>
      <c r="K29" s="91">
        <v>0</v>
      </c>
      <c r="L29" s="91">
        <v>400003</v>
      </c>
      <c r="M29" s="91">
        <v>0</v>
      </c>
      <c r="O29" s="91">
        <v>-18756</v>
      </c>
      <c r="P29" s="91">
        <v>-11190</v>
      </c>
      <c r="Q29" s="91">
        <v>-15295</v>
      </c>
      <c r="R29" s="91">
        <v>-15710</v>
      </c>
      <c r="T29" s="91">
        <v>-16021</v>
      </c>
      <c r="U29" s="91">
        <v>-15578</v>
      </c>
      <c r="V29" s="91">
        <v>-12543</v>
      </c>
      <c r="W29" s="91">
        <v>-18185</v>
      </c>
      <c r="X29" s="91"/>
      <c r="Y29" s="91">
        <v>-15694</v>
      </c>
      <c r="Z29" s="91">
        <v>-15620</v>
      </c>
      <c r="AA29" s="91">
        <v>-15662</v>
      </c>
      <c r="AB29" s="91">
        <v>-15548</v>
      </c>
      <c r="AC29" s="91"/>
      <c r="AD29" s="91">
        <v>-15513</v>
      </c>
      <c r="AE29" s="91">
        <v>-15537</v>
      </c>
      <c r="AF29" s="91"/>
      <c r="AG29" s="91"/>
    </row>
    <row r="30" spans="1:33" ht="17.25" outlineLevel="1" x14ac:dyDescent="0.3">
      <c r="A30" s="89" t="str">
        <f>IF(Menu!$D$7="Português/Portuguese",B30,C30)</f>
        <v>Outras contas a pagar</v>
      </c>
      <c r="B30" s="89" t="s">
        <v>324</v>
      </c>
      <c r="C30" s="89" t="s">
        <v>268</v>
      </c>
      <c r="D30" s="90"/>
      <c r="E30" s="91">
        <v>7112</v>
      </c>
      <c r="F30" s="91">
        <v>24481</v>
      </c>
      <c r="G30" s="91">
        <v>1751605</v>
      </c>
      <c r="H30" s="91">
        <v>-617123</v>
      </c>
      <c r="J30" s="91">
        <v>-1073576</v>
      </c>
      <c r="K30" s="91">
        <v>55438</v>
      </c>
      <c r="L30" s="91">
        <v>286911</v>
      </c>
      <c r="M30" s="91">
        <v>-322613</v>
      </c>
      <c r="O30" s="91">
        <v>-14832</v>
      </c>
      <c r="P30" s="91">
        <v>-76580</v>
      </c>
      <c r="Q30" s="91">
        <v>19206</v>
      </c>
      <c r="R30" s="91">
        <v>38767</v>
      </c>
      <c r="T30" s="91">
        <v>-43086</v>
      </c>
      <c r="U30" s="91">
        <v>-95762</v>
      </c>
      <c r="V30" s="91">
        <v>288169</v>
      </c>
      <c r="W30" s="91">
        <v>-99615</v>
      </c>
      <c r="X30" s="91"/>
      <c r="Y30" s="91">
        <v>39135</v>
      </c>
      <c r="Z30" s="91">
        <v>3411</v>
      </c>
      <c r="AA30" s="91">
        <v>-98954</v>
      </c>
      <c r="AB30" s="91">
        <v>-111389</v>
      </c>
      <c r="AC30" s="91"/>
      <c r="AD30" s="91">
        <v>75699</v>
      </c>
      <c r="AE30" s="91">
        <v>262929</v>
      </c>
      <c r="AF30" s="91"/>
      <c r="AG30" s="91"/>
    </row>
    <row r="31" spans="1:33" ht="17.25" outlineLevel="1" x14ac:dyDescent="0.3">
      <c r="A31" s="89" t="str">
        <f>IF(Menu!$D$7="Português/Portuguese",B31,C31)</f>
        <v xml:space="preserve">Fornecedores risco sacado </v>
      </c>
      <c r="B31" s="89" t="s">
        <v>325</v>
      </c>
      <c r="C31" s="89" t="s">
        <v>365</v>
      </c>
      <c r="D31" s="90"/>
      <c r="E31" s="91">
        <v>0</v>
      </c>
      <c r="F31" s="91">
        <v>0</v>
      </c>
      <c r="G31" s="91">
        <v>0</v>
      </c>
      <c r="H31" s="91">
        <v>0</v>
      </c>
      <c r="J31" s="91">
        <v>0</v>
      </c>
      <c r="K31" s="91">
        <v>0</v>
      </c>
      <c r="L31" s="91">
        <v>0</v>
      </c>
      <c r="M31" s="91">
        <v>0</v>
      </c>
      <c r="O31" s="91">
        <v>0</v>
      </c>
      <c r="P31" s="91">
        <v>0</v>
      </c>
      <c r="Q31" s="91">
        <v>0</v>
      </c>
      <c r="R31" s="91">
        <v>0</v>
      </c>
      <c r="T31" s="91">
        <v>0</v>
      </c>
      <c r="U31" s="91">
        <v>0</v>
      </c>
      <c r="V31" s="91">
        <v>123718</v>
      </c>
      <c r="W31" s="91">
        <v>64055</v>
      </c>
      <c r="X31" s="91"/>
      <c r="Y31" s="91">
        <v>1675</v>
      </c>
      <c r="Z31" s="91">
        <v>14828</v>
      </c>
      <c r="AA31" s="91">
        <v>145121</v>
      </c>
      <c r="AB31" s="91">
        <v>187836</v>
      </c>
      <c r="AC31" s="91"/>
      <c r="AD31" s="91">
        <v>-177523</v>
      </c>
      <c r="AE31" s="91">
        <v>-186991</v>
      </c>
      <c r="AF31" s="91"/>
      <c r="AG31" s="91"/>
    </row>
    <row r="32" spans="1:33" ht="17.25" outlineLevel="1" x14ac:dyDescent="0.3">
      <c r="A32" s="89" t="str">
        <f>IF(Menu!$D$7="Português/Portuguese",B32,C32)</f>
        <v xml:space="preserve">Adiantamento partes relacionadas </v>
      </c>
      <c r="B32" s="89" t="s">
        <v>326</v>
      </c>
      <c r="C32" s="89" t="s">
        <v>366</v>
      </c>
      <c r="D32" s="90"/>
      <c r="E32" s="91">
        <v>0</v>
      </c>
      <c r="F32" s="91">
        <v>0</v>
      </c>
      <c r="G32" s="91">
        <v>0</v>
      </c>
      <c r="H32" s="91">
        <v>0</v>
      </c>
      <c r="J32" s="91">
        <v>0</v>
      </c>
      <c r="K32" s="91">
        <v>0</v>
      </c>
      <c r="L32" s="91">
        <v>0</v>
      </c>
      <c r="M32" s="91">
        <v>0</v>
      </c>
      <c r="O32" s="91">
        <v>0</v>
      </c>
      <c r="P32" s="91">
        <v>0</v>
      </c>
      <c r="Q32" s="91">
        <v>0</v>
      </c>
      <c r="R32" s="91">
        <v>0</v>
      </c>
      <c r="T32" s="91">
        <v>0</v>
      </c>
      <c r="U32" s="91">
        <v>0</v>
      </c>
      <c r="V32" s="91">
        <v>0</v>
      </c>
      <c r="W32" s="91">
        <v>0</v>
      </c>
      <c r="X32" s="91"/>
      <c r="Y32" s="91">
        <v>0</v>
      </c>
      <c r="Z32" s="91">
        <v>0</v>
      </c>
      <c r="AA32" s="91">
        <v>0</v>
      </c>
      <c r="AB32" s="91">
        <v>0</v>
      </c>
      <c r="AC32" s="91"/>
      <c r="AD32" s="91">
        <v>0</v>
      </c>
      <c r="AE32" s="91">
        <v>0</v>
      </c>
      <c r="AF32" s="91"/>
      <c r="AG32" s="91"/>
    </row>
    <row r="33" spans="1:33" ht="17.25" outlineLevel="1" x14ac:dyDescent="0.3">
      <c r="A33" s="89" t="str">
        <f>IF(Menu!$D$7="Português/Portuguese",B33,C33)</f>
        <v>Hedge accounting de fluxo de caixa</v>
      </c>
      <c r="B33" s="89" t="s">
        <v>327</v>
      </c>
      <c r="C33" s="89" t="s">
        <v>367</v>
      </c>
      <c r="D33" s="90"/>
      <c r="E33" s="91">
        <v>-76150</v>
      </c>
      <c r="F33" s="91">
        <v>-176244</v>
      </c>
      <c r="G33" s="91">
        <v>169077</v>
      </c>
      <c r="H33" s="91">
        <v>70414</v>
      </c>
      <c r="J33" s="91">
        <v>0</v>
      </c>
      <c r="K33" s="91">
        <v>22286</v>
      </c>
      <c r="L33" s="91">
        <v>-48317</v>
      </c>
      <c r="M33" s="91">
        <v>0</v>
      </c>
      <c r="O33" s="91">
        <v>-575795</v>
      </c>
      <c r="P33" s="91">
        <v>6487</v>
      </c>
      <c r="Q33" s="91">
        <v>11348</v>
      </c>
      <c r="R33" s="91">
        <v>-236792</v>
      </c>
      <c r="T33" s="91">
        <v>-499124</v>
      </c>
      <c r="U33" s="91">
        <v>603203</v>
      </c>
      <c r="V33" s="91">
        <v>0</v>
      </c>
      <c r="W33" s="91">
        <v>0</v>
      </c>
      <c r="X33" s="91"/>
      <c r="Y33" s="91">
        <v>0</v>
      </c>
      <c r="Z33" s="91">
        <v>0</v>
      </c>
      <c r="AA33" s="91">
        <v>0</v>
      </c>
      <c r="AB33" s="91">
        <v>0</v>
      </c>
      <c r="AC33" s="91"/>
      <c r="AD33" s="91">
        <v>0</v>
      </c>
      <c r="AE33" s="91">
        <v>0</v>
      </c>
      <c r="AF33" s="91"/>
      <c r="AG33" s="91"/>
    </row>
    <row r="34" spans="1:33" ht="15.75" x14ac:dyDescent="0.25">
      <c r="A34" s="93" t="str">
        <f>IF(Menu!$D$7="Português/Portuguese",B34,C34)</f>
        <v>Outros pagamentos e recebimentos</v>
      </c>
      <c r="B34" s="93" t="s">
        <v>199</v>
      </c>
      <c r="C34" s="93" t="s">
        <v>368</v>
      </c>
      <c r="D34" s="94"/>
      <c r="E34" s="95">
        <v>-1299895</v>
      </c>
      <c r="F34" s="95">
        <v>-294666</v>
      </c>
      <c r="G34" s="95">
        <v>-360041</v>
      </c>
      <c r="H34" s="95">
        <v>-401631</v>
      </c>
      <c r="J34" s="95">
        <v>-2041992</v>
      </c>
      <c r="K34" s="95">
        <v>-329620</v>
      </c>
      <c r="L34" s="95">
        <f t="shared" ref="L34" si="2">SUM(L35:L38)</f>
        <v>-470541</v>
      </c>
      <c r="M34" s="95">
        <v>-295128</v>
      </c>
      <c r="O34" s="95">
        <v>-373101</v>
      </c>
      <c r="P34" s="95">
        <v>-353877</v>
      </c>
      <c r="Q34" s="95">
        <v>-445212</v>
      </c>
      <c r="R34" s="95">
        <v>-602779</v>
      </c>
      <c r="T34" s="95">
        <v>-425203</v>
      </c>
      <c r="U34" s="95">
        <v>-9740</v>
      </c>
      <c r="V34" s="95">
        <v>-1128626</v>
      </c>
      <c r="W34" s="95">
        <v>-403103</v>
      </c>
      <c r="Y34" s="95">
        <v>-328368</v>
      </c>
      <c r="Z34" s="95">
        <v>-195649</v>
      </c>
      <c r="AA34" s="95">
        <v>-512587</v>
      </c>
      <c r="AB34" s="95">
        <v>-293523</v>
      </c>
      <c r="AD34" s="95">
        <f>SUM(AD35:AD38)</f>
        <v>-367947</v>
      </c>
      <c r="AE34" s="95">
        <f>SUM(AE35:AE38)</f>
        <v>-84354</v>
      </c>
      <c r="AF34" s="95"/>
      <c r="AG34" s="95"/>
    </row>
    <row r="35" spans="1:33" ht="17.25" outlineLevel="1" x14ac:dyDescent="0.3">
      <c r="A35" s="89" t="str">
        <f>IF(Menu!$D$7="Português/Portuguese",B35,C35)</f>
        <v>Recebimento de operações derivativas</v>
      </c>
      <c r="B35" s="89" t="s">
        <v>328</v>
      </c>
      <c r="C35" s="89" t="s">
        <v>369</v>
      </c>
      <c r="D35" s="90"/>
      <c r="E35" s="91">
        <v>0</v>
      </c>
      <c r="F35" s="91">
        <v>0</v>
      </c>
      <c r="G35" s="91">
        <v>0</v>
      </c>
      <c r="H35" s="91">
        <v>0</v>
      </c>
      <c r="J35" s="91">
        <v>0</v>
      </c>
      <c r="K35" s="91">
        <v>0</v>
      </c>
      <c r="L35" s="91">
        <v>0</v>
      </c>
      <c r="M35" s="91">
        <v>0</v>
      </c>
      <c r="O35" s="91">
        <v>0</v>
      </c>
      <c r="P35" s="91">
        <v>0</v>
      </c>
      <c r="Q35" s="91">
        <v>0</v>
      </c>
      <c r="R35" s="91">
        <v>0</v>
      </c>
      <c r="T35" s="91">
        <v>0</v>
      </c>
      <c r="U35" s="91">
        <v>0</v>
      </c>
      <c r="V35" s="91">
        <v>-61534</v>
      </c>
      <c r="W35" s="91">
        <v>0</v>
      </c>
      <c r="Y35" s="91">
        <v>-21809</v>
      </c>
      <c r="Z35" s="91">
        <v>46845</v>
      </c>
      <c r="AA35" s="91">
        <v>-93499</v>
      </c>
      <c r="AB35" s="91">
        <v>-30234</v>
      </c>
      <c r="AD35" s="91">
        <v>-118753</v>
      </c>
      <c r="AE35" s="91">
        <v>113955</v>
      </c>
      <c r="AF35" s="91"/>
      <c r="AG35" s="91"/>
    </row>
    <row r="36" spans="1:33" ht="17.25" outlineLevel="1" x14ac:dyDescent="0.3">
      <c r="A36" s="89" t="str">
        <f>IF(Menu!$D$7="Português/Portuguese",B36,C36)</f>
        <v>Dividendos recebidos MRS</v>
      </c>
      <c r="B36" s="89" t="s">
        <v>329</v>
      </c>
      <c r="C36" s="89" t="s">
        <v>370</v>
      </c>
      <c r="D36" s="90"/>
      <c r="E36" s="91">
        <v>0</v>
      </c>
      <c r="F36" s="91">
        <v>0</v>
      </c>
      <c r="G36" s="91">
        <v>0</v>
      </c>
      <c r="H36" s="91">
        <v>19304</v>
      </c>
      <c r="J36" s="91">
        <v>0</v>
      </c>
      <c r="K36" s="91">
        <v>0</v>
      </c>
      <c r="L36" s="91">
        <v>0</v>
      </c>
      <c r="M36" s="91">
        <v>31387</v>
      </c>
      <c r="O36" s="91">
        <v>0</v>
      </c>
      <c r="P36" s="91">
        <v>0</v>
      </c>
      <c r="Q36" s="91">
        <v>0</v>
      </c>
      <c r="R36" s="91">
        <v>38679</v>
      </c>
      <c r="T36" s="91">
        <v>0</v>
      </c>
      <c r="U36" s="91">
        <v>0</v>
      </c>
      <c r="V36" s="91">
        <v>0</v>
      </c>
      <c r="W36" s="91">
        <v>54167</v>
      </c>
      <c r="Y36" s="91">
        <v>0</v>
      </c>
      <c r="Z36" s="91">
        <v>0</v>
      </c>
      <c r="AA36" s="91">
        <v>0</v>
      </c>
      <c r="AB36" s="91">
        <v>63887</v>
      </c>
      <c r="AD36" s="91">
        <v>0</v>
      </c>
      <c r="AE36" s="91">
        <v>0</v>
      </c>
      <c r="AF36" s="91"/>
      <c r="AG36" s="91"/>
    </row>
    <row r="37" spans="1:33" ht="17.25" outlineLevel="1" x14ac:dyDescent="0.3">
      <c r="A37" s="89" t="str">
        <f>IF(Menu!$D$7="Português/Portuguese",B37,C37)</f>
        <v xml:space="preserve">Imposto de renda e contribuição social pagos </v>
      </c>
      <c r="B37" s="89" t="s">
        <v>330</v>
      </c>
      <c r="C37" s="89" t="s">
        <v>371</v>
      </c>
      <c r="D37" s="90"/>
      <c r="E37" s="91">
        <v>-1293342</v>
      </c>
      <c r="F37" s="91">
        <v>-279816</v>
      </c>
      <c r="G37" s="91">
        <v>-345523</v>
      </c>
      <c r="H37" s="91">
        <v>-381367</v>
      </c>
      <c r="J37" s="91">
        <v>-1973646</v>
      </c>
      <c r="K37" s="91">
        <v>-270150</v>
      </c>
      <c r="L37" s="91">
        <v>-412004</v>
      </c>
      <c r="M37" s="91">
        <v>-216896</v>
      </c>
      <c r="O37" s="91">
        <v>-251653</v>
      </c>
      <c r="P37" s="91">
        <v>-195174</v>
      </c>
      <c r="Q37" s="91">
        <v>-313934</v>
      </c>
      <c r="R37" s="91">
        <v>-495264</v>
      </c>
      <c r="T37" s="91">
        <v>-255687</v>
      </c>
      <c r="U37" s="91">
        <v>142614</v>
      </c>
      <c r="V37" s="91">
        <v>-896332</v>
      </c>
      <c r="W37" s="91">
        <v>-271642</v>
      </c>
      <c r="Y37" s="91">
        <v>-125183</v>
      </c>
      <c r="Z37" s="91">
        <v>-104875</v>
      </c>
      <c r="AA37" s="91">
        <v>-237000</v>
      </c>
      <c r="AB37" s="91">
        <v>-166884</v>
      </c>
      <c r="AD37" s="91">
        <v>-94133</v>
      </c>
      <c r="AE37" s="91">
        <v>-56163</v>
      </c>
      <c r="AF37" s="91"/>
      <c r="AG37" s="91"/>
    </row>
    <row r="38" spans="1:33" ht="17.25" outlineLevel="1" x14ac:dyDescent="0.3">
      <c r="A38" s="89" t="str">
        <f>IF(Menu!$D$7="Português/Portuguese",B38,C38)</f>
        <v>Juros pagos sobre empréstimos e financiamentos</v>
      </c>
      <c r="B38" s="89" t="s">
        <v>331</v>
      </c>
      <c r="C38" s="89" t="s">
        <v>372</v>
      </c>
      <c r="D38" s="90"/>
      <c r="E38" s="91">
        <v>-6553</v>
      </c>
      <c r="F38" s="91">
        <v>-14850</v>
      </c>
      <c r="G38" s="91">
        <v>-14518</v>
      </c>
      <c r="H38" s="91">
        <v>-39568</v>
      </c>
      <c r="J38" s="91">
        <v>-68346</v>
      </c>
      <c r="K38" s="91">
        <v>-59470</v>
      </c>
      <c r="L38" s="91">
        <v>-58537</v>
      </c>
      <c r="M38" s="91">
        <v>-109619</v>
      </c>
      <c r="O38" s="91">
        <v>-121448</v>
      </c>
      <c r="P38" s="91">
        <v>-158703</v>
      </c>
      <c r="Q38" s="91">
        <v>-131278</v>
      </c>
      <c r="R38" s="91">
        <v>-146194</v>
      </c>
      <c r="T38" s="91">
        <v>-169516</v>
      </c>
      <c r="U38" s="91">
        <v>-152354</v>
      </c>
      <c r="V38" s="91">
        <v>-170760</v>
      </c>
      <c r="W38" s="91">
        <v>-185628</v>
      </c>
      <c r="Y38" s="91">
        <v>-181376</v>
      </c>
      <c r="Z38" s="91">
        <v>-137619</v>
      </c>
      <c r="AA38" s="91">
        <v>-182088</v>
      </c>
      <c r="AB38" s="91">
        <v>-160292</v>
      </c>
      <c r="AD38" s="91">
        <v>-155061</v>
      </c>
      <c r="AE38" s="91">
        <v>-142146</v>
      </c>
      <c r="AF38" s="91"/>
      <c r="AG38" s="91"/>
    </row>
    <row r="39" spans="1:33" s="85" customFormat="1" ht="18" x14ac:dyDescent="0.25">
      <c r="A39" s="88" t="str">
        <f>IF(Menu!$D$7="Português/Portuguese",B39,C39)</f>
        <v>Fluxo de Caixa das Atividades de Investimentos</v>
      </c>
      <c r="B39" s="88" t="s">
        <v>198</v>
      </c>
      <c r="C39" s="88" t="s">
        <v>197</v>
      </c>
      <c r="E39" s="88">
        <v>-132832</v>
      </c>
      <c r="F39" s="88">
        <v>-466903</v>
      </c>
      <c r="G39" s="88">
        <v>-344192</v>
      </c>
      <c r="H39" s="88">
        <v>-392076</v>
      </c>
      <c r="J39" s="88">
        <v>-289361</v>
      </c>
      <c r="K39" s="88">
        <v>-403591</v>
      </c>
      <c r="L39" s="88">
        <f t="shared" ref="L39" si="3">SUM(L40:L44)</f>
        <v>-195572</v>
      </c>
      <c r="M39" s="88">
        <v>-649745</v>
      </c>
      <c r="O39" s="88">
        <v>-227905</v>
      </c>
      <c r="P39" s="88">
        <v>-117673</v>
      </c>
      <c r="Q39" s="88">
        <v>-405395</v>
      </c>
      <c r="R39" s="88">
        <v>-457739</v>
      </c>
      <c r="T39" s="88">
        <v>-237865</v>
      </c>
      <c r="U39" s="88">
        <v>-391204</v>
      </c>
      <c r="V39" s="88">
        <v>-475714</v>
      </c>
      <c r="W39" s="88">
        <v>-659187</v>
      </c>
      <c r="Y39" s="88">
        <v>-377465</v>
      </c>
      <c r="Z39" s="88">
        <v>-500342</v>
      </c>
      <c r="AA39" s="88">
        <v>-605519</v>
      </c>
      <c r="AB39" s="88">
        <v>-4235564</v>
      </c>
      <c r="AD39" s="88">
        <f>SUM(AD40:AD44)</f>
        <v>-431436</v>
      </c>
      <c r="AE39" s="88">
        <f>SUM(AE40:AE44)</f>
        <v>-652096</v>
      </c>
      <c r="AF39" s="88"/>
      <c r="AG39" s="88"/>
    </row>
    <row r="40" spans="1:33" ht="16.5" customHeight="1" x14ac:dyDescent="0.3">
      <c r="A40" s="89" t="str">
        <f>IF(Menu!$D$7="Português/Portuguese",B40,C40)</f>
        <v>Aquisição de participação em controladas, coligadas ou joint ventures</v>
      </c>
      <c r="B40" s="89" t="s">
        <v>332</v>
      </c>
      <c r="C40" s="89" t="s">
        <v>373</v>
      </c>
      <c r="D40" s="90"/>
      <c r="E40" s="91">
        <v>0</v>
      </c>
      <c r="F40" s="91">
        <v>0</v>
      </c>
      <c r="G40" s="91">
        <v>0</v>
      </c>
      <c r="H40" s="91">
        <v>0</v>
      </c>
      <c r="J40" s="91">
        <v>0</v>
      </c>
      <c r="K40" s="91">
        <v>0</v>
      </c>
      <c r="L40" s="91">
        <v>0</v>
      </c>
      <c r="M40" s="91">
        <v>0</v>
      </c>
      <c r="O40" s="91">
        <v>0</v>
      </c>
      <c r="P40" s="91">
        <v>0</v>
      </c>
      <c r="Q40" s="91">
        <v>0</v>
      </c>
      <c r="R40" s="91">
        <v>0</v>
      </c>
      <c r="T40" s="91">
        <v>0</v>
      </c>
      <c r="U40" s="91">
        <v>0</v>
      </c>
      <c r="V40" s="91">
        <v>0</v>
      </c>
      <c r="W40" s="91">
        <v>0</v>
      </c>
      <c r="Y40" s="91">
        <v>0</v>
      </c>
      <c r="Z40" s="91">
        <v>0</v>
      </c>
      <c r="AA40" s="91">
        <v>0</v>
      </c>
      <c r="AB40" s="91">
        <v>0</v>
      </c>
      <c r="AD40" s="91">
        <v>0</v>
      </c>
      <c r="AE40" s="91">
        <v>0</v>
      </c>
      <c r="AF40" s="91"/>
      <c r="AG40" s="91"/>
    </row>
    <row r="41" spans="1:33" ht="16.5" customHeight="1" x14ac:dyDescent="0.3">
      <c r="A41" s="89" t="str">
        <f>IF(Menu!$D$7="Português/Portuguese",B41,C41)</f>
        <v>Aquisição de ativos imobilizados</v>
      </c>
      <c r="B41" s="89" t="s">
        <v>333</v>
      </c>
      <c r="C41" s="89" t="s">
        <v>374</v>
      </c>
      <c r="D41" s="90"/>
      <c r="E41" s="91">
        <v>-132832</v>
      </c>
      <c r="F41" s="91">
        <v>-466903</v>
      </c>
      <c r="G41" s="91">
        <v>-344192</v>
      </c>
      <c r="H41" s="91">
        <v>-392076</v>
      </c>
      <c r="J41" s="91">
        <v>-289361</v>
      </c>
      <c r="K41" s="91">
        <v>-403591</v>
      </c>
      <c r="L41" s="91">
        <v>-275668</v>
      </c>
      <c r="M41" s="91">
        <v>-222406</v>
      </c>
      <c r="O41" s="91">
        <v>-238045</v>
      </c>
      <c r="P41" s="91">
        <v>-343611</v>
      </c>
      <c r="Q41" s="91">
        <v>-404559</v>
      </c>
      <c r="R41" s="91">
        <v>-457370</v>
      </c>
      <c r="T41" s="91">
        <v>-237482</v>
      </c>
      <c r="U41" s="91">
        <v>-390875</v>
      </c>
      <c r="V41" s="91">
        <v>-475349</v>
      </c>
      <c r="W41" s="91">
        <v>-658825</v>
      </c>
      <c r="Y41" s="91">
        <v>-377036</v>
      </c>
      <c r="Z41" s="91">
        <v>-499863</v>
      </c>
      <c r="AA41" s="91">
        <v>-602874</v>
      </c>
      <c r="AB41" s="91">
        <v>-885154</v>
      </c>
      <c r="AD41" s="91">
        <v>-430811</v>
      </c>
      <c r="AE41" s="91">
        <v>-651554</v>
      </c>
      <c r="AF41" s="91"/>
      <c r="AG41" s="91"/>
    </row>
    <row r="42" spans="1:33" ht="16.5" customHeight="1" x14ac:dyDescent="0.3">
      <c r="A42" s="89" t="str">
        <f>IF(Menu!$D$7="Português/Portuguese",B42,C42)</f>
        <v xml:space="preserve">Aplicações financeiras </v>
      </c>
      <c r="B42" s="89" t="s">
        <v>334</v>
      </c>
      <c r="C42" s="89" t="s">
        <v>375</v>
      </c>
      <c r="D42" s="90"/>
      <c r="E42" s="91">
        <v>0</v>
      </c>
      <c r="F42" s="91">
        <v>0</v>
      </c>
      <c r="G42" s="91">
        <v>0</v>
      </c>
      <c r="H42" s="91">
        <v>0</v>
      </c>
      <c r="J42" s="91">
        <v>0</v>
      </c>
      <c r="K42" s="91">
        <v>0</v>
      </c>
      <c r="L42" s="91">
        <v>80096</v>
      </c>
      <c r="M42" s="91">
        <v>-110398</v>
      </c>
      <c r="O42" s="91">
        <v>10140</v>
      </c>
      <c r="P42" s="91">
        <v>225938</v>
      </c>
      <c r="Q42" s="91">
        <v>-836</v>
      </c>
      <c r="R42" s="91">
        <v>-369</v>
      </c>
      <c r="T42" s="91">
        <v>-383</v>
      </c>
      <c r="U42" s="91">
        <v>-329</v>
      </c>
      <c r="V42" s="91">
        <v>-365</v>
      </c>
      <c r="W42" s="91">
        <v>-362</v>
      </c>
      <c r="Y42" s="91">
        <v>-429</v>
      </c>
      <c r="Z42" s="91">
        <v>-479</v>
      </c>
      <c r="AA42" s="91">
        <v>-2645</v>
      </c>
      <c r="AB42" s="91">
        <v>-410</v>
      </c>
      <c r="AD42" s="91">
        <v>-625</v>
      </c>
      <c r="AE42" s="91">
        <v>-542</v>
      </c>
      <c r="AF42" s="91"/>
      <c r="AG42" s="91"/>
    </row>
    <row r="43" spans="1:33" ht="16.5" customHeight="1" x14ac:dyDescent="0.3">
      <c r="A43" s="89" t="str">
        <f>IF(Menu!$D$7="Português/Portuguese",B43,C43)</f>
        <v>Caixa recebido na aquisição da Chapeco</v>
      </c>
      <c r="B43" s="89" t="s">
        <v>335</v>
      </c>
      <c r="C43" s="89" t="s">
        <v>386</v>
      </c>
      <c r="D43" s="90"/>
      <c r="E43" s="91">
        <v>0</v>
      </c>
      <c r="F43" s="91">
        <v>0</v>
      </c>
      <c r="G43" s="91">
        <v>0</v>
      </c>
      <c r="H43" s="91">
        <v>0</v>
      </c>
      <c r="J43" s="91">
        <v>0</v>
      </c>
      <c r="K43" s="91">
        <v>0</v>
      </c>
      <c r="L43" s="91">
        <v>0</v>
      </c>
      <c r="M43" s="91">
        <v>41693</v>
      </c>
      <c r="O43" s="91">
        <v>0</v>
      </c>
      <c r="P43" s="91">
        <v>0</v>
      </c>
      <c r="Q43" s="91">
        <v>0</v>
      </c>
      <c r="R43" s="91">
        <v>0</v>
      </c>
      <c r="T43" s="91">
        <v>0</v>
      </c>
      <c r="U43" s="91">
        <v>0</v>
      </c>
      <c r="V43" s="91">
        <v>0</v>
      </c>
      <c r="W43" s="91">
        <v>0</v>
      </c>
      <c r="Y43" s="91">
        <v>0</v>
      </c>
      <c r="Z43" s="91">
        <v>0</v>
      </c>
      <c r="AA43" s="91">
        <v>0</v>
      </c>
      <c r="AB43" s="91">
        <v>0</v>
      </c>
      <c r="AD43" s="91">
        <v>0</v>
      </c>
      <c r="AE43" s="91">
        <v>0</v>
      </c>
      <c r="AF43" s="91"/>
      <c r="AG43" s="91"/>
    </row>
    <row r="44" spans="1:33" ht="16.5" customHeight="1" x14ac:dyDescent="0.3">
      <c r="A44" s="89" t="str">
        <f>IF(Menu!$D$7="Português/Portuguese",B44,C44)</f>
        <v>Aquisição da Cia Energética Chapeco</v>
      </c>
      <c r="B44" s="89" t="s">
        <v>336</v>
      </c>
      <c r="C44" s="89" t="s">
        <v>387</v>
      </c>
      <c r="D44" s="90"/>
      <c r="E44" s="91">
        <v>0</v>
      </c>
      <c r="F44" s="91">
        <v>0</v>
      </c>
      <c r="G44" s="91">
        <v>0</v>
      </c>
      <c r="H44" s="91">
        <v>0</v>
      </c>
      <c r="J44" s="91">
        <v>0</v>
      </c>
      <c r="K44" s="91">
        <v>0</v>
      </c>
      <c r="L44" s="91">
        <v>0</v>
      </c>
      <c r="M44" s="91">
        <v>-358634</v>
      </c>
      <c r="O44" s="91">
        <v>0</v>
      </c>
      <c r="P44" s="91">
        <v>0</v>
      </c>
      <c r="Q44" s="91">
        <v>0</v>
      </c>
      <c r="R44" s="91">
        <v>0</v>
      </c>
      <c r="T44" s="91">
        <v>0</v>
      </c>
      <c r="U44" s="91">
        <v>0</v>
      </c>
      <c r="V44" s="91">
        <v>0</v>
      </c>
      <c r="W44" s="91">
        <v>0</v>
      </c>
      <c r="Y44" s="91">
        <v>0</v>
      </c>
      <c r="Z44" s="91">
        <v>0</v>
      </c>
      <c r="AA44" s="91">
        <v>0</v>
      </c>
      <c r="AB44" s="91">
        <v>0</v>
      </c>
      <c r="AD44" s="91">
        <v>0</v>
      </c>
      <c r="AE44" s="91">
        <v>0</v>
      </c>
      <c r="AF44" s="91"/>
      <c r="AG44" s="91"/>
    </row>
    <row r="45" spans="1:33" s="85" customFormat="1" ht="18" x14ac:dyDescent="0.25">
      <c r="A45" s="88" t="str">
        <f>IF(Menu!$D$7="Português/Portuguese",B45,C45)</f>
        <v>Fluxo de Caixa das Atividades de Financiamento</v>
      </c>
      <c r="B45" s="88" t="s">
        <v>196</v>
      </c>
      <c r="C45" s="88" t="s">
        <v>195</v>
      </c>
      <c r="E45" s="88">
        <v>-143900</v>
      </c>
      <c r="F45" s="88">
        <v>1817208</v>
      </c>
      <c r="G45" s="88">
        <v>-1090934</v>
      </c>
      <c r="H45" s="88">
        <v>-543857</v>
      </c>
      <c r="J45" s="88">
        <v>-509316</v>
      </c>
      <c r="K45" s="88">
        <v>-697419</v>
      </c>
      <c r="L45" s="88">
        <f t="shared" ref="L45" si="4">SUM(L46:L55)</f>
        <v>1303681</v>
      </c>
      <c r="M45" s="88">
        <v>-2196116</v>
      </c>
      <c r="O45" s="88">
        <v>106420</v>
      </c>
      <c r="P45" s="88">
        <v>-2982448</v>
      </c>
      <c r="Q45" s="88">
        <v>616405</v>
      </c>
      <c r="R45" s="88">
        <v>-1474791</v>
      </c>
      <c r="T45" s="88">
        <v>-70545</v>
      </c>
      <c r="U45" s="88">
        <v>-1557836</v>
      </c>
      <c r="V45" s="88">
        <v>-370783</v>
      </c>
      <c r="W45" s="88">
        <v>-2595032</v>
      </c>
      <c r="Y45" s="88">
        <v>173828</v>
      </c>
      <c r="Z45" s="88">
        <v>-254233</v>
      </c>
      <c r="AA45" s="88">
        <v>-1310121</v>
      </c>
      <c r="AB45" s="88">
        <v>-1091664</v>
      </c>
      <c r="AD45" s="88">
        <f>SUM(AD46:AD55)</f>
        <v>253053</v>
      </c>
      <c r="AE45" s="88">
        <f>SUM(AE46:AE55)</f>
        <v>-417726</v>
      </c>
      <c r="AF45" s="88"/>
      <c r="AG45" s="88"/>
    </row>
    <row r="46" spans="1:33" ht="17.25" collapsed="1" x14ac:dyDescent="0.3">
      <c r="A46" s="89" t="str">
        <f>IF(Menu!$D$7="Português/Portuguese",B46,C46)</f>
        <v>Pagamento do principal sobre empréstimos</v>
      </c>
      <c r="B46" s="89" t="s">
        <v>337</v>
      </c>
      <c r="C46" s="89" t="s">
        <v>376</v>
      </c>
      <c r="D46" s="90"/>
      <c r="E46" s="91">
        <v>-13992</v>
      </c>
      <c r="F46" s="91">
        <v>-13828</v>
      </c>
      <c r="G46" s="91">
        <v>-31034</v>
      </c>
      <c r="H46" s="91">
        <v>-32205</v>
      </c>
      <c r="J46" s="91">
        <v>-30393</v>
      </c>
      <c r="K46" s="91">
        <v>-177571</v>
      </c>
      <c r="L46" s="91">
        <v>-29317</v>
      </c>
      <c r="M46" s="91">
        <v>-169058</v>
      </c>
      <c r="O46" s="91">
        <v>-374716</v>
      </c>
      <c r="P46" s="91">
        <v>-580797</v>
      </c>
      <c r="Q46" s="91">
        <v>-34492</v>
      </c>
      <c r="R46" s="91">
        <v>-167616</v>
      </c>
      <c r="T46" s="91">
        <v>-49469</v>
      </c>
      <c r="U46" s="91">
        <v>-151842</v>
      </c>
      <c r="V46" s="91">
        <v>-28528</v>
      </c>
      <c r="W46" s="91">
        <v>-136131</v>
      </c>
      <c r="Y46" s="91">
        <v>-577544</v>
      </c>
      <c r="Z46" s="91">
        <v>-270402</v>
      </c>
      <c r="AA46" s="91">
        <v>-1006352</v>
      </c>
      <c r="AB46" s="91">
        <v>-250786</v>
      </c>
      <c r="AD46" s="91">
        <v>-419468</v>
      </c>
      <c r="AE46" s="91">
        <v>-262318</v>
      </c>
      <c r="AF46" s="91"/>
      <c r="AG46" s="91"/>
    </row>
    <row r="47" spans="1:33" ht="17.25" x14ac:dyDescent="0.3">
      <c r="A47" s="89" t="str">
        <f>IF(Menu!$D$7="Português/Portuguese",B47,C47)</f>
        <v>Pré pagamento de minério de ferro</v>
      </c>
      <c r="B47" s="89" t="s">
        <v>194</v>
      </c>
      <c r="C47" s="89" t="s">
        <v>377</v>
      </c>
      <c r="E47" s="91">
        <v>0</v>
      </c>
      <c r="F47" s="91">
        <v>0</v>
      </c>
      <c r="G47" s="91">
        <v>0</v>
      </c>
      <c r="H47" s="91">
        <v>0</v>
      </c>
      <c r="J47" s="91">
        <v>0</v>
      </c>
      <c r="K47" s="91">
        <v>0</v>
      </c>
      <c r="L47" s="91">
        <v>0</v>
      </c>
      <c r="M47" s="91">
        <v>0</v>
      </c>
      <c r="O47" s="91">
        <v>0</v>
      </c>
      <c r="P47" s="91">
        <v>0</v>
      </c>
      <c r="Q47" s="91">
        <v>0</v>
      </c>
      <c r="R47" s="91">
        <v>0</v>
      </c>
      <c r="T47" s="91">
        <v>0</v>
      </c>
      <c r="U47" s="91">
        <v>0</v>
      </c>
      <c r="V47" s="91">
        <v>0</v>
      </c>
      <c r="W47" s="91">
        <v>0</v>
      </c>
      <c r="Y47" s="91">
        <v>0</v>
      </c>
      <c r="Z47" s="91">
        <v>42611</v>
      </c>
      <c r="AA47" s="91">
        <v>24105</v>
      </c>
      <c r="AB47" s="91">
        <v>0</v>
      </c>
      <c r="AD47" s="91">
        <v>0</v>
      </c>
      <c r="AE47" s="91">
        <v>0</v>
      </c>
      <c r="AF47" s="91"/>
      <c r="AG47" s="91"/>
    </row>
    <row r="48" spans="1:33" ht="17.25" x14ac:dyDescent="0.3">
      <c r="A48" s="89" t="str">
        <f>IF(Menu!$D$7="Português/Portuguese",B48,C48)</f>
        <v>Amortização de pré-pagamento de minério de ferro</v>
      </c>
      <c r="B48" s="89" t="s">
        <v>338</v>
      </c>
      <c r="C48" s="89" t="s">
        <v>378</v>
      </c>
      <c r="D48" s="97"/>
      <c r="E48" s="91">
        <v>0</v>
      </c>
      <c r="F48" s="91">
        <v>0</v>
      </c>
      <c r="G48" s="91">
        <v>0</v>
      </c>
      <c r="H48" s="91">
        <v>0</v>
      </c>
      <c r="J48" s="91">
        <v>0</v>
      </c>
      <c r="K48" s="91">
        <v>0</v>
      </c>
      <c r="L48" s="91">
        <v>0</v>
      </c>
      <c r="M48" s="91">
        <v>0</v>
      </c>
      <c r="O48" s="91">
        <v>0</v>
      </c>
      <c r="P48" s="91">
        <v>0</v>
      </c>
      <c r="Q48" s="91">
        <v>0</v>
      </c>
      <c r="R48" s="91">
        <v>0</v>
      </c>
      <c r="T48" s="91">
        <v>0</v>
      </c>
      <c r="U48" s="91">
        <v>0</v>
      </c>
      <c r="V48" s="91">
        <v>0</v>
      </c>
      <c r="W48" s="91">
        <v>0</v>
      </c>
      <c r="Y48" s="91">
        <v>0</v>
      </c>
      <c r="Z48" s="91">
        <v>0</v>
      </c>
      <c r="AA48" s="91">
        <v>-66716</v>
      </c>
      <c r="AB48" s="91">
        <v>0</v>
      </c>
      <c r="AD48" s="91">
        <v>0</v>
      </c>
      <c r="AE48" s="91">
        <v>0</v>
      </c>
      <c r="AF48" s="91"/>
      <c r="AG48" s="91"/>
    </row>
    <row r="49" spans="1:33" ht="17.25" x14ac:dyDescent="0.3">
      <c r="A49" s="89" t="str">
        <f>IF(Menu!$D$7="Português/Portuguese",B49,C49)</f>
        <v>Captações</v>
      </c>
      <c r="B49" s="89" t="s">
        <v>339</v>
      </c>
      <c r="C49" s="89" t="s">
        <v>379</v>
      </c>
      <c r="E49" s="91">
        <v>0</v>
      </c>
      <c r="F49" s="91">
        <v>1935627</v>
      </c>
      <c r="G49" s="91">
        <v>1259760</v>
      </c>
      <c r="H49" s="91">
        <v>0</v>
      </c>
      <c r="J49" s="91">
        <v>0</v>
      </c>
      <c r="K49" s="91">
        <v>2181171</v>
      </c>
      <c r="L49" s="91">
        <v>1400000</v>
      </c>
      <c r="M49" s="91">
        <v>430000</v>
      </c>
      <c r="O49" s="91">
        <v>488223</v>
      </c>
      <c r="P49" s="91">
        <v>250000</v>
      </c>
      <c r="Q49" s="91">
        <v>674318</v>
      </c>
      <c r="R49" s="91">
        <v>5238</v>
      </c>
      <c r="T49" s="91">
        <v>0</v>
      </c>
      <c r="U49" s="91">
        <v>0</v>
      </c>
      <c r="V49" s="91">
        <v>0</v>
      </c>
      <c r="W49" s="91">
        <v>489360</v>
      </c>
      <c r="Y49" s="91">
        <v>759263</v>
      </c>
      <c r="Z49" s="91">
        <v>0</v>
      </c>
      <c r="AA49" s="91">
        <v>1221847</v>
      </c>
      <c r="AB49" s="91">
        <v>0</v>
      </c>
      <c r="AD49" s="91">
        <v>699635</v>
      </c>
      <c r="AE49" s="91">
        <v>0</v>
      </c>
      <c r="AF49" s="91"/>
      <c r="AG49" s="91"/>
    </row>
    <row r="50" spans="1:33" ht="17.25" x14ac:dyDescent="0.3">
      <c r="A50" s="89" t="str">
        <f>IF(Menu!$D$7="Português/Portuguese",B50,C50)</f>
        <v>Emissão primaria de ações</v>
      </c>
      <c r="B50" s="89" t="s">
        <v>340</v>
      </c>
      <c r="C50" s="89" t="s">
        <v>388</v>
      </c>
      <c r="D50" s="97"/>
      <c r="E50" s="91">
        <v>1347862</v>
      </c>
      <c r="F50" s="91">
        <v>0</v>
      </c>
      <c r="G50" s="91">
        <v>0</v>
      </c>
      <c r="H50" s="91">
        <v>0</v>
      </c>
      <c r="J50" s="91">
        <v>0</v>
      </c>
      <c r="K50" s="91">
        <v>0</v>
      </c>
      <c r="L50" s="91">
        <v>0</v>
      </c>
      <c r="M50" s="91">
        <v>0</v>
      </c>
      <c r="O50" s="91">
        <v>0</v>
      </c>
      <c r="P50" s="91">
        <v>0</v>
      </c>
      <c r="Q50" s="91">
        <v>0</v>
      </c>
      <c r="R50" s="91">
        <v>0</v>
      </c>
      <c r="T50" s="91">
        <v>0</v>
      </c>
      <c r="U50" s="91">
        <v>0</v>
      </c>
      <c r="V50" s="91">
        <v>0</v>
      </c>
      <c r="W50" s="91">
        <v>0</v>
      </c>
      <c r="Y50" s="91">
        <v>0</v>
      </c>
      <c r="Z50" s="91">
        <v>0</v>
      </c>
      <c r="AA50" s="91">
        <v>0</v>
      </c>
      <c r="AB50" s="91">
        <v>0</v>
      </c>
      <c r="AD50" s="91">
        <v>0</v>
      </c>
      <c r="AE50" s="91">
        <v>0</v>
      </c>
      <c r="AF50" s="91"/>
      <c r="AG50" s="91"/>
    </row>
    <row r="51" spans="1:33" ht="17.25" x14ac:dyDescent="0.3">
      <c r="A51" s="89" t="str">
        <f>IF(Menu!$D$7="Português/Portuguese",B51,C51)</f>
        <v>Custo de transação</v>
      </c>
      <c r="B51" s="89" t="s">
        <v>341</v>
      </c>
      <c r="C51" s="89" t="s">
        <v>380</v>
      </c>
      <c r="D51" s="90"/>
      <c r="E51" s="91">
        <v>0</v>
      </c>
      <c r="F51" s="91">
        <v>-102315</v>
      </c>
      <c r="G51" s="91">
        <v>-35209</v>
      </c>
      <c r="H51" s="91">
        <v>0</v>
      </c>
      <c r="J51" s="91">
        <v>0</v>
      </c>
      <c r="K51" s="91">
        <v>-173209</v>
      </c>
      <c r="L51" s="91">
        <v>-61258</v>
      </c>
      <c r="M51" s="91">
        <v>-6151</v>
      </c>
      <c r="O51" s="91">
        <v>-1719</v>
      </c>
      <c r="P51" s="91">
        <v>-97291</v>
      </c>
      <c r="Q51" s="91">
        <v>-18852</v>
      </c>
      <c r="R51" s="91">
        <v>-3682</v>
      </c>
      <c r="T51" s="91">
        <v>-17864</v>
      </c>
      <c r="U51" s="91">
        <v>-1059</v>
      </c>
      <c r="V51" s="91">
        <v>-20241</v>
      </c>
      <c r="W51" s="91">
        <v>0</v>
      </c>
      <c r="Y51" s="91">
        <v>-1139</v>
      </c>
      <c r="Z51" s="91">
        <v>-19519</v>
      </c>
      <c r="AA51" s="91">
        <v>-26323</v>
      </c>
      <c r="AB51" s="91">
        <v>-84</v>
      </c>
      <c r="AD51" s="91">
        <v>0</v>
      </c>
      <c r="AE51" s="91">
        <v>0</v>
      </c>
      <c r="AF51" s="91"/>
      <c r="AG51" s="91"/>
    </row>
    <row r="52" spans="1:33" ht="17.25" x14ac:dyDescent="0.3">
      <c r="A52" s="89" t="str">
        <f>IF(Menu!$D$7="Português/Portuguese",B52,C52)</f>
        <v>Dividendos pagos</v>
      </c>
      <c r="B52" s="89" t="s">
        <v>342</v>
      </c>
      <c r="C52" s="89" t="s">
        <v>381</v>
      </c>
      <c r="D52" s="98"/>
      <c r="E52" s="91">
        <v>-1068207</v>
      </c>
      <c r="F52" s="91">
        <v>0</v>
      </c>
      <c r="G52" s="91">
        <v>-2136459</v>
      </c>
      <c r="H52" s="91">
        <v>0</v>
      </c>
      <c r="J52" s="91">
        <v>0</v>
      </c>
      <c r="K52" s="91">
        <v>-2520404</v>
      </c>
      <c r="L52" s="91">
        <v>0</v>
      </c>
      <c r="M52" s="91">
        <v>-1763000</v>
      </c>
      <c r="O52" s="91">
        <v>0</v>
      </c>
      <c r="P52" s="91">
        <v>-2181912</v>
      </c>
      <c r="Q52" s="91">
        <v>0</v>
      </c>
      <c r="R52" s="91">
        <v>-1364984</v>
      </c>
      <c r="T52" s="91">
        <v>0</v>
      </c>
      <c r="U52" s="91">
        <v>-1025041</v>
      </c>
      <c r="V52" s="91">
        <v>0</v>
      </c>
      <c r="W52" s="91">
        <v>-2535000</v>
      </c>
      <c r="Y52" s="91">
        <v>0</v>
      </c>
      <c r="Z52" s="91">
        <v>0</v>
      </c>
      <c r="AA52" s="91">
        <v>-1090000</v>
      </c>
      <c r="AB52" s="91">
        <v>-424205</v>
      </c>
      <c r="AD52" s="91">
        <v>0</v>
      </c>
      <c r="AE52" s="91">
        <v>0</v>
      </c>
      <c r="AF52" s="91"/>
      <c r="AG52" s="91"/>
    </row>
    <row r="53" spans="1:33" ht="17.25" x14ac:dyDescent="0.3">
      <c r="A53" s="89" t="str">
        <f>IF(Menu!$D$7="Português/Portuguese",B53,C53)</f>
        <v>Juros de Capital Proprio</v>
      </c>
      <c r="B53" s="89" t="s">
        <v>343</v>
      </c>
      <c r="C53" s="89" t="s">
        <v>382</v>
      </c>
      <c r="D53" s="94"/>
      <c r="E53" s="91">
        <v>-404941</v>
      </c>
      <c r="F53" s="91">
        <v>0</v>
      </c>
      <c r="G53" s="91">
        <v>0</v>
      </c>
      <c r="H53" s="91">
        <v>0</v>
      </c>
      <c r="J53" s="91">
        <v>-473477</v>
      </c>
      <c r="K53" s="91">
        <v>0</v>
      </c>
      <c r="L53" s="91">
        <v>0</v>
      </c>
      <c r="M53" s="91">
        <v>-681754</v>
      </c>
      <c r="O53" s="91">
        <v>0</v>
      </c>
      <c r="P53" s="91">
        <v>-367158</v>
      </c>
      <c r="Q53" s="91">
        <v>0</v>
      </c>
      <c r="R53" s="91">
        <v>59789</v>
      </c>
      <c r="T53" s="91">
        <v>0</v>
      </c>
      <c r="U53" s="91">
        <v>-369959</v>
      </c>
      <c r="V53" s="91">
        <v>0</v>
      </c>
      <c r="W53" s="91">
        <v>-396702</v>
      </c>
      <c r="Y53" s="91">
        <v>0</v>
      </c>
      <c r="Z53" s="91">
        <v>0</v>
      </c>
      <c r="AA53" s="91">
        <v>-360972</v>
      </c>
      <c r="AB53" s="91">
        <v>-408449</v>
      </c>
      <c r="AD53" s="91">
        <v>0</v>
      </c>
      <c r="AE53" s="91">
        <v>0</v>
      </c>
      <c r="AF53" s="91"/>
      <c r="AG53" s="91"/>
    </row>
    <row r="54" spans="1:33" ht="17.25" collapsed="1" x14ac:dyDescent="0.3">
      <c r="A54" s="89" t="str">
        <f>IF(Menu!$D$7="Português/Portuguese",B54,C54)</f>
        <v>Passivos de arrendamentos</v>
      </c>
      <c r="B54" s="89" t="s">
        <v>344</v>
      </c>
      <c r="C54" s="89" t="s">
        <v>383</v>
      </c>
      <c r="D54" s="94"/>
      <c r="E54" s="91">
        <v>-4622</v>
      </c>
      <c r="F54" s="91">
        <v>-2276</v>
      </c>
      <c r="G54" s="91">
        <v>-2853</v>
      </c>
      <c r="H54" s="91">
        <v>-5775</v>
      </c>
      <c r="J54" s="91">
        <v>-5446</v>
      </c>
      <c r="K54" s="91">
        <v>-5313</v>
      </c>
      <c r="L54" s="91">
        <v>-5744</v>
      </c>
      <c r="M54" s="91">
        <v>-6153</v>
      </c>
      <c r="O54" s="91">
        <v>-5368</v>
      </c>
      <c r="P54" s="91">
        <v>-5290</v>
      </c>
      <c r="Q54" s="91">
        <v>-4569</v>
      </c>
      <c r="R54" s="91">
        <v>-3536</v>
      </c>
      <c r="T54" s="91">
        <v>-3212</v>
      </c>
      <c r="U54" s="91">
        <v>-9935</v>
      </c>
      <c r="V54" s="91">
        <v>-6389</v>
      </c>
      <c r="W54" s="91">
        <v>-7842</v>
      </c>
      <c r="Y54" s="91">
        <v>-6752</v>
      </c>
      <c r="Z54" s="91">
        <v>-6923</v>
      </c>
      <c r="AA54" s="91">
        <v>-5710</v>
      </c>
      <c r="AB54" s="91">
        <v>-8140</v>
      </c>
      <c r="AD54" s="91">
        <v>-27114</v>
      </c>
      <c r="AE54" s="91">
        <v>-26887</v>
      </c>
      <c r="AF54" s="91"/>
      <c r="AG54" s="91"/>
    </row>
    <row r="55" spans="1:33" ht="17.25" x14ac:dyDescent="0.3">
      <c r="A55" s="89" t="str">
        <f>IF(Menu!$D$7="Português/Portuguese",B55,C55)</f>
        <v xml:space="preserve">Recompra da ações </v>
      </c>
      <c r="B55" s="89" t="s">
        <v>345</v>
      </c>
      <c r="C55" s="89" t="s">
        <v>384</v>
      </c>
      <c r="D55" s="90"/>
      <c r="E55" s="91">
        <v>0</v>
      </c>
      <c r="F55" s="91">
        <v>0</v>
      </c>
      <c r="G55" s="91">
        <v>-145139</v>
      </c>
      <c r="H55" s="91">
        <v>-505877</v>
      </c>
      <c r="J55" s="91">
        <v>0</v>
      </c>
      <c r="K55" s="91">
        <v>-2093</v>
      </c>
      <c r="L55" s="91">
        <v>0</v>
      </c>
      <c r="M55" s="91">
        <v>0</v>
      </c>
      <c r="O55" s="91">
        <v>0</v>
      </c>
      <c r="P55" s="91">
        <v>0</v>
      </c>
      <c r="Q55" s="91">
        <v>0</v>
      </c>
      <c r="R55" s="91">
        <v>0</v>
      </c>
      <c r="T55" s="91">
        <v>0</v>
      </c>
      <c r="U55" s="91">
        <v>0</v>
      </c>
      <c r="V55" s="91">
        <v>-315625</v>
      </c>
      <c r="W55" s="91">
        <v>-8717</v>
      </c>
      <c r="Y55" s="91">
        <v>0</v>
      </c>
      <c r="Z55" s="91">
        <v>0</v>
      </c>
      <c r="AA55" s="91">
        <v>0</v>
      </c>
      <c r="AB55" s="91">
        <v>0</v>
      </c>
      <c r="AD55" s="91">
        <v>0</v>
      </c>
      <c r="AE55" s="91">
        <v>-128521</v>
      </c>
      <c r="AF55" s="91"/>
      <c r="AG55" s="91"/>
    </row>
    <row r="56" spans="1:33" s="100" customFormat="1" ht="15" customHeight="1" x14ac:dyDescent="0.3">
      <c r="A56" s="99" t="str">
        <f>IF(Menu!$D$7="Português/Portuguese",B56,C56)</f>
        <v>Variação Cambial sobre caixa e equivalentes de Caixa</v>
      </c>
      <c r="B56" s="99" t="s">
        <v>193</v>
      </c>
      <c r="C56" s="99" t="s">
        <v>385</v>
      </c>
      <c r="E56" s="101"/>
      <c r="F56" s="101"/>
      <c r="G56" s="101"/>
      <c r="H56" s="101"/>
      <c r="I56" s="77"/>
      <c r="J56" s="101"/>
      <c r="K56" s="101"/>
      <c r="L56" s="101"/>
      <c r="M56" s="101">
        <v>-5240</v>
      </c>
      <c r="N56" s="77"/>
      <c r="O56" s="101">
        <v>-52503</v>
      </c>
      <c r="P56" s="101">
        <v>54677</v>
      </c>
      <c r="Q56" s="101">
        <v>-2175</v>
      </c>
      <c r="R56" s="101">
        <v>3069</v>
      </c>
      <c r="S56" s="77"/>
      <c r="T56" s="101">
        <v>1811</v>
      </c>
      <c r="U56" s="101">
        <v>25772</v>
      </c>
      <c r="V56" s="101">
        <v>-13178</v>
      </c>
      <c r="W56" s="101">
        <v>-22876</v>
      </c>
      <c r="X56" s="77"/>
      <c r="Y56" s="101">
        <v>9265</v>
      </c>
      <c r="Z56" s="101">
        <v>36514</v>
      </c>
      <c r="AA56" s="101">
        <v>-16932</v>
      </c>
      <c r="AB56" s="101">
        <v>-36082</v>
      </c>
      <c r="AC56" s="77"/>
      <c r="AD56" s="101">
        <v>77525</v>
      </c>
      <c r="AE56" s="101">
        <v>28355</v>
      </c>
      <c r="AF56" s="101"/>
      <c r="AG56" s="101"/>
    </row>
    <row r="57" spans="1:33" s="85" customFormat="1" ht="18" x14ac:dyDescent="0.25">
      <c r="A57" s="88" t="str">
        <f>IF(Menu!$D$7="Português/Portuguese",B57,C57)</f>
        <v>Aumento (Redução) do Caixa e Equivalentes de Caixa</v>
      </c>
      <c r="B57" s="88" t="s">
        <v>192</v>
      </c>
      <c r="C57" s="88" t="s">
        <v>191</v>
      </c>
      <c r="E57" s="102">
        <v>2143935</v>
      </c>
      <c r="F57" s="102">
        <v>3948993</v>
      </c>
      <c r="G57" s="102">
        <v>2765342</v>
      </c>
      <c r="H57" s="102">
        <v>-1113989</v>
      </c>
      <c r="J57" s="102">
        <v>-4364196</v>
      </c>
      <c r="K57" s="102">
        <v>1016427</v>
      </c>
      <c r="L57" s="102">
        <f>SUM(L5,L39,L45)</f>
        <v>2214930</v>
      </c>
      <c r="M57" s="102">
        <v>-3094390</v>
      </c>
      <c r="O57" s="102">
        <v>2524259</v>
      </c>
      <c r="P57" s="102">
        <v>-1165633</v>
      </c>
      <c r="Q57" s="102">
        <v>2773894</v>
      </c>
      <c r="R57" s="102">
        <v>-826214</v>
      </c>
      <c r="T57" s="102">
        <v>613218</v>
      </c>
      <c r="U57" s="102">
        <v>1364600</v>
      </c>
      <c r="V57" s="102">
        <v>2705325</v>
      </c>
      <c r="W57" s="102">
        <v>706908</v>
      </c>
      <c r="Y57" s="102">
        <v>-904389</v>
      </c>
      <c r="Z57" s="102">
        <v>73274</v>
      </c>
      <c r="AA57" s="102">
        <v>-770070</v>
      </c>
      <c r="AB57" s="102">
        <v>-4712852</v>
      </c>
      <c r="AD57" s="102">
        <f>SUM(AD5,AD39,AD45,AD56)</f>
        <v>-29519</v>
      </c>
      <c r="AE57" s="102">
        <f>SUM(AE5,AE39,AE45,AE56)</f>
        <v>-922213</v>
      </c>
      <c r="AF57" s="102"/>
      <c r="AG57" s="102"/>
    </row>
    <row r="58" spans="1:33" s="100" customFormat="1" ht="15" customHeight="1" x14ac:dyDescent="0.3">
      <c r="A58" s="99" t="str">
        <f>IF(Menu!$D$7="Português/Portuguese",B58,C58)</f>
        <v>Caixa e equivalentes de caixa no início do período</v>
      </c>
      <c r="B58" s="99" t="s">
        <v>190</v>
      </c>
      <c r="C58" s="99" t="s">
        <v>189</v>
      </c>
      <c r="E58" s="101">
        <v>2972521</v>
      </c>
      <c r="F58" s="101">
        <v>5116457</v>
      </c>
      <c r="G58" s="101">
        <v>9065450</v>
      </c>
      <c r="H58" s="101">
        <v>11830791</v>
      </c>
      <c r="I58" s="77"/>
      <c r="J58" s="101">
        <v>10716802</v>
      </c>
      <c r="K58" s="101">
        <v>6352605</v>
      </c>
      <c r="L58" s="101">
        <f t="shared" ref="L58" si="5">K59</f>
        <v>7369032</v>
      </c>
      <c r="M58" s="101">
        <v>9583962</v>
      </c>
      <c r="N58" s="77"/>
      <c r="O58" s="101">
        <v>6489572</v>
      </c>
      <c r="P58" s="101">
        <v>9013831</v>
      </c>
      <c r="Q58" s="101">
        <v>7848198</v>
      </c>
      <c r="R58" s="101">
        <v>10622092</v>
      </c>
      <c r="S58" s="77"/>
      <c r="T58" s="101">
        <v>9795878</v>
      </c>
      <c r="U58" s="101">
        <v>10409096</v>
      </c>
      <c r="V58" s="101">
        <v>11773696</v>
      </c>
      <c r="W58" s="101">
        <v>14479020</v>
      </c>
      <c r="X58" s="77"/>
      <c r="Y58" s="101">
        <v>15185928</v>
      </c>
      <c r="Z58" s="101">
        <v>14281539</v>
      </c>
      <c r="AA58" s="101">
        <v>14354813</v>
      </c>
      <c r="AB58" s="101">
        <v>13584743</v>
      </c>
      <c r="AC58" s="77"/>
      <c r="AD58" s="101">
        <f>AB59</f>
        <v>8871892</v>
      </c>
      <c r="AE58" s="101">
        <f>AD59</f>
        <v>8842373</v>
      </c>
      <c r="AF58" s="101"/>
      <c r="AG58" s="101"/>
    </row>
    <row r="59" spans="1:33" s="100" customFormat="1" ht="15" customHeight="1" x14ac:dyDescent="0.3">
      <c r="A59" s="99" t="str">
        <f>IF(Menu!$D$7="Português/Portuguese",B59,C59)</f>
        <v>Caixa e equivalentes de caixa no fim do período</v>
      </c>
      <c r="B59" s="99" t="s">
        <v>188</v>
      </c>
      <c r="C59" s="99" t="s">
        <v>187</v>
      </c>
      <c r="E59" s="101">
        <v>5116457</v>
      </c>
      <c r="F59" s="101">
        <v>9065450</v>
      </c>
      <c r="G59" s="101">
        <v>11830791</v>
      </c>
      <c r="H59" s="101">
        <v>10716802</v>
      </c>
      <c r="I59" s="77"/>
      <c r="J59" s="101">
        <v>6352605</v>
      </c>
      <c r="K59" s="101">
        <v>7369032</v>
      </c>
      <c r="L59" s="101">
        <f>SUM(L57:L58)</f>
        <v>9583962</v>
      </c>
      <c r="M59" s="101">
        <v>6489572</v>
      </c>
      <c r="N59" s="77"/>
      <c r="O59" s="101">
        <v>9013831</v>
      </c>
      <c r="P59" s="101">
        <v>7848198</v>
      </c>
      <c r="Q59" s="101">
        <v>10622092</v>
      </c>
      <c r="R59" s="101">
        <v>9795878</v>
      </c>
      <c r="S59" s="77"/>
      <c r="T59" s="101">
        <v>10409096</v>
      </c>
      <c r="U59" s="101">
        <v>11773696</v>
      </c>
      <c r="V59" s="101">
        <v>14479020</v>
      </c>
      <c r="W59" s="101">
        <v>15185928</v>
      </c>
      <c r="X59" s="77"/>
      <c r="Y59" s="101">
        <v>14281539</v>
      </c>
      <c r="Z59" s="101">
        <v>14354813</v>
      </c>
      <c r="AA59" s="101">
        <v>13584743</v>
      </c>
      <c r="AB59" s="101">
        <v>8871892</v>
      </c>
      <c r="AC59" s="77"/>
      <c r="AD59" s="101">
        <f>SUM(AD58,AD57)</f>
        <v>8842373</v>
      </c>
      <c r="AE59" s="101">
        <f>_xlfn.XLOOKUP(A59,'[3]12. DFC'!$B:$B,'[3]12. DFC'!$AV:$AV)</f>
        <v>7920160</v>
      </c>
      <c r="AF59" s="101"/>
      <c r="AG59" s="101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&amp;L_x000D_&amp;1#&amp;"Calibri"&amp;10&amp;K000000 Público</oddFooter>
  </headerFooter>
  <ignoredErrors>
    <ignoredError sqref="AD45:AE45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497053CF9D6240A078A2883FE7585E" ma:contentTypeVersion="3" ma:contentTypeDescription="Crie um novo documento." ma:contentTypeScope="" ma:versionID="6e4493010385b62ad8ebd79f2109b4e2">
  <xsd:schema xmlns:xsd="http://www.w3.org/2001/XMLSchema" xmlns:xs="http://www.w3.org/2001/XMLSchema" xmlns:p="http://schemas.microsoft.com/office/2006/metadata/properties" xmlns:ns2="ef5596d6-136c-4eaf-923f-ea3eea9a8099" targetNamespace="http://schemas.microsoft.com/office/2006/metadata/properties" ma:root="true" ma:fieldsID="a589d882be586a602feac8f79b84489b" ns2:_="">
    <xsd:import namespace="ef5596d6-136c-4eaf-923f-ea3eea9a80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596d6-136c-4eaf-923f-ea3eea9a80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D26F70-02B7-41DA-A1A8-B49D2922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5596d6-136c-4eaf-923f-ea3eea9a8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50F2F2-5DDB-4F44-9D45-828896696081}">
  <ds:schemaRefs>
    <ds:schemaRef ds:uri="ef5596d6-136c-4eaf-923f-ea3eea9a8099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30D5DA3-DB91-4405-ADB9-E87E0396F46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a4d6a05-509a-47be-b294-2e1b750e57c1}" enabled="1" method="Standard" siteId="{72b256b0-66c6-4cd3-8b5c-a7bb0e1a9d4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Menu</vt:lpstr>
      <vt:lpstr>Destaques | Highlights</vt:lpstr>
      <vt:lpstr>Operacional | Operational</vt:lpstr>
      <vt:lpstr>Projeções | Guidance</vt:lpstr>
      <vt:lpstr>Bal Patrimonial | Balance Sheet</vt:lpstr>
      <vt:lpstr>DRE | Income Statement</vt:lpstr>
      <vt:lpstr>Fluxo de Caixa | Cash Flow</vt:lpstr>
    </vt:vector>
  </TitlesOfParts>
  <Company>CSN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CMIN - Guia de Modelagem | Modeling Guide </dc:title>
  <dc:creator>RI CMIN</dc:creator>
  <cp:lastModifiedBy>MAYRA FAVERO CELLEGUIN</cp:lastModifiedBy>
  <dcterms:created xsi:type="dcterms:W3CDTF">2026-03-12T19:18:08Z</dcterms:created>
  <dcterms:modified xsi:type="dcterms:W3CDTF">2026-10-05T18:38:37Z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0x01010066497053CF9D6240A078A2883FE7585E</vt:lpwstr>
  </property>
</Properties>
</file>