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hidePivotFieldList="1"/>
  <mc:AlternateContent xmlns:mc="http://schemas.openxmlformats.org/markup-compatibility/2006">
    <mc:Choice Requires="x15">
      <x15ac:absPath xmlns:x15ac="http://schemas.microsoft.com/office/spreadsheetml/2010/11/ac" url="W:\01. RI\07. Divulgações de resultados\2026\2T26\Planilha Fundamentos\"/>
    </mc:Choice>
  </mc:AlternateContent>
  <xr:revisionPtr revIDLastSave="0" documentId="13_ncr:1_{EC4C389D-4603-4685-A417-A83660F2F1BE}" xr6:coauthVersionLast="47" xr6:coauthVersionMax="47" xr10:uidLastSave="{00000000-0000-0000-0000-000000000000}"/>
  <bookViews>
    <workbookView xWindow="13550" yWindow="-2140" windowWidth="19420" windowHeight="10300" xr2:uid="{00000000-000D-0000-FFFF-FFFF00000000}"/>
  </bookViews>
  <sheets>
    <sheet name="Português" sheetId="8" r:id="rId1"/>
    <sheet name="English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56" i="7" l="1"/>
  <c r="J58" i="7" s="1"/>
  <c r="J59" i="7" s="1"/>
  <c r="J59" i="8"/>
  <c r="J58" i="8"/>
  <c r="J56" i="8"/>
  <c r="H80" i="8"/>
  <c r="T80" i="8"/>
  <c r="AA80" i="8"/>
  <c r="AB80" i="8"/>
  <c r="AC80" i="8" s="1"/>
  <c r="AK11" i="8" l="1"/>
  <c r="AL156" i="8"/>
  <c r="AL154" i="8"/>
  <c r="AL153" i="8"/>
  <c r="AL152" i="8"/>
  <c r="AL142" i="8"/>
  <c r="AL146" i="8" s="1"/>
  <c r="AL148" i="8" s="1"/>
  <c r="AL149" i="8" l="1"/>
  <c r="AL155" i="8"/>
  <c r="AL157" i="8" s="1"/>
  <c r="AK11" i="7"/>
  <c r="K212" i="7"/>
  <c r="K201" i="7"/>
  <c r="K11" i="7"/>
  <c r="K214" i="7" l="1"/>
  <c r="K201" i="8"/>
  <c r="AJ156" i="7"/>
  <c r="AJ154" i="7"/>
  <c r="AJ153" i="7"/>
  <c r="AJ152" i="7"/>
  <c r="AJ11" i="7"/>
  <c r="AJ11" i="8"/>
  <c r="K212" i="8"/>
  <c r="AJ156" i="8"/>
  <c r="AJ154" i="8"/>
  <c r="AJ153" i="8"/>
  <c r="AJ152" i="8"/>
  <c r="AI45" i="7"/>
  <c r="AI36" i="7"/>
  <c r="AI31" i="7"/>
  <c r="K11" i="8"/>
  <c r="AI36" i="8"/>
  <c r="AI45" i="8"/>
  <c r="AI31" i="8"/>
  <c r="K214" i="8" l="1"/>
  <c r="AJ155" i="7"/>
  <c r="AJ157" i="7" s="1"/>
  <c r="AJ155" i="8"/>
  <c r="AJ157" i="8" s="1"/>
  <c r="J154" i="7"/>
  <c r="J155" i="7" s="1"/>
  <c r="J157" i="7" s="1"/>
  <c r="J154" i="8"/>
  <c r="J155" i="8" s="1"/>
  <c r="J157" i="8" s="1"/>
  <c r="J201" i="7"/>
  <c r="J212" i="7"/>
  <c r="J217" i="7"/>
  <c r="J214" i="7"/>
  <c r="H154" i="8"/>
  <c r="J82" i="8"/>
  <c r="J62" i="8"/>
  <c r="J42" i="8"/>
  <c r="AG139" i="8"/>
  <c r="AG126" i="8"/>
  <c r="AG128" i="8" s="1"/>
  <c r="AG110" i="8"/>
  <c r="AG95" i="8"/>
  <c r="AG66" i="8"/>
  <c r="AG70" i="8" s="1"/>
  <c r="AG78" i="8" s="1"/>
  <c r="AG58" i="8"/>
  <c r="AG22" i="8"/>
  <c r="J217" i="8"/>
  <c r="J212" i="8"/>
  <c r="J201" i="8"/>
  <c r="J176" i="8"/>
  <c r="J126" i="8"/>
  <c r="J128" i="8" s="1"/>
  <c r="J146" i="8"/>
  <c r="J148" i="8" s="1"/>
  <c r="J139" i="8"/>
  <c r="J110" i="8"/>
  <c r="J95" i="8"/>
  <c r="J17" i="8"/>
  <c r="J214" i="8" l="1"/>
  <c r="J111" i="8"/>
  <c r="J149" i="8"/>
  <c r="AG111" i="8"/>
  <c r="J97" i="8"/>
  <c r="AG97" i="8"/>
  <c r="J44" i="8"/>
  <c r="J150" i="8" l="1"/>
  <c r="I196" i="7"/>
  <c r="H196" i="7"/>
  <c r="I199" i="7"/>
  <c r="H199" i="7"/>
  <c r="AB29" i="8"/>
  <c r="AF12" i="8" l="1"/>
  <c r="AF12" i="7" s="1"/>
  <c r="AF147" i="7"/>
  <c r="AF145" i="7"/>
  <c r="AF144" i="7"/>
  <c r="AF143" i="7"/>
  <c r="AF142" i="7"/>
  <c r="AF141" i="7"/>
  <c r="AF138" i="7"/>
  <c r="AF137" i="7"/>
  <c r="AF136" i="7"/>
  <c r="AF135" i="7"/>
  <c r="AF134" i="7"/>
  <c r="AF133" i="7"/>
  <c r="AF132" i="7"/>
  <c r="AF131" i="7"/>
  <c r="AF130" i="7"/>
  <c r="AF127" i="7"/>
  <c r="AF125" i="7"/>
  <c r="AF124" i="7"/>
  <c r="AF122" i="7"/>
  <c r="AF121" i="7"/>
  <c r="AF120" i="7"/>
  <c r="AF119" i="7"/>
  <c r="AF118" i="7"/>
  <c r="AF117" i="7"/>
  <c r="AF116" i="7"/>
  <c r="AF115" i="7"/>
  <c r="AF109" i="7"/>
  <c r="AF108" i="7"/>
  <c r="AF107" i="7"/>
  <c r="AF106" i="7"/>
  <c r="AF105" i="7"/>
  <c r="AF104" i="7"/>
  <c r="AF103" i="7"/>
  <c r="AF102" i="7"/>
  <c r="AF101" i="7"/>
  <c r="AF100" i="7"/>
  <c r="AF99" i="7"/>
  <c r="AF96" i="7"/>
  <c r="AF94" i="7"/>
  <c r="AF93" i="7"/>
  <c r="AF92" i="7"/>
  <c r="AF91" i="7"/>
  <c r="AF90" i="7"/>
  <c r="AF89" i="7"/>
  <c r="AF88" i="7"/>
  <c r="AF87" i="7"/>
  <c r="AF10" i="7"/>
  <c r="AF9" i="7"/>
  <c r="AF8" i="7"/>
  <c r="AF46" i="7"/>
  <c r="AF43" i="7"/>
  <c r="AF67" i="7" s="1"/>
  <c r="AF40" i="7"/>
  <c r="AF39" i="7"/>
  <c r="AF35" i="7"/>
  <c r="AF34" i="7"/>
  <c r="AF33" i="7"/>
  <c r="AF29" i="7"/>
  <c r="AF28" i="7"/>
  <c r="AF27" i="7"/>
  <c r="AF26" i="7"/>
  <c r="AF25" i="7"/>
  <c r="AF24" i="7"/>
  <c r="AF21" i="7"/>
  <c r="AF20" i="7"/>
  <c r="AF19" i="7"/>
  <c r="AF18" i="7"/>
  <c r="AF56" i="7"/>
  <c r="AF55" i="7"/>
  <c r="AF54" i="7"/>
  <c r="AF53" i="7"/>
  <c r="AF52" i="7"/>
  <c r="AF51" i="7"/>
  <c r="AF80" i="7"/>
  <c r="AF76" i="7"/>
  <c r="AF75" i="7"/>
  <c r="AF74" i="7"/>
  <c r="AF73" i="7"/>
  <c r="AF72" i="7"/>
  <c r="AE56" i="7"/>
  <c r="AD56" i="7"/>
  <c r="AC56" i="7"/>
  <c r="AB56" i="7"/>
  <c r="AA56" i="7"/>
  <c r="Z56" i="7"/>
  <c r="I56" i="7"/>
  <c r="H56" i="7"/>
  <c r="AE76" i="7"/>
  <c r="AD76" i="7"/>
  <c r="AC76" i="7"/>
  <c r="AB76" i="7"/>
  <c r="AA76" i="7"/>
  <c r="Z76" i="7"/>
  <c r="Y76" i="7"/>
  <c r="X76" i="7"/>
  <c r="W76" i="7"/>
  <c r="V76" i="7"/>
  <c r="U76" i="7"/>
  <c r="T76" i="7"/>
  <c r="S76" i="7"/>
  <c r="R76" i="7"/>
  <c r="Q76" i="7"/>
  <c r="P76" i="7"/>
  <c r="O76" i="7"/>
  <c r="N76" i="7"/>
  <c r="I76" i="7"/>
  <c r="H76" i="7"/>
  <c r="AF17" i="7" l="1"/>
  <c r="AF32" i="7"/>
  <c r="AF95" i="7"/>
  <c r="AF41" i="7"/>
  <c r="AF139" i="7"/>
  <c r="AF11" i="7"/>
  <c r="AF126" i="7"/>
  <c r="AF146" i="7"/>
  <c r="AF23" i="7"/>
  <c r="AF156" i="8"/>
  <c r="AF154" i="8"/>
  <c r="AF153" i="8"/>
  <c r="AF152" i="8"/>
  <c r="AF146" i="8"/>
  <c r="AF148" i="8" s="1"/>
  <c r="AF139" i="8"/>
  <c r="AF126" i="8"/>
  <c r="AF128" i="8" s="1"/>
  <c r="AF110" i="8"/>
  <c r="AF110" i="7" s="1"/>
  <c r="AF95" i="8"/>
  <c r="AF11" i="8"/>
  <c r="AF69" i="8"/>
  <c r="AF69" i="7" s="1"/>
  <c r="AF67" i="8"/>
  <c r="AF60" i="8"/>
  <c r="AF60" i="7" s="1"/>
  <c r="AF111" i="8" l="1"/>
  <c r="AF111" i="7" s="1"/>
  <c r="AF128" i="7"/>
  <c r="AF68" i="7"/>
  <c r="AF148" i="7"/>
  <c r="AF97" i="7"/>
  <c r="AF22" i="7"/>
  <c r="AF30" i="7" s="1"/>
  <c r="AF31" i="7" s="1"/>
  <c r="AF97" i="8"/>
  <c r="AF149" i="8"/>
  <c r="AF155" i="8"/>
  <c r="AF157" i="8" s="1"/>
  <c r="AF36" i="8"/>
  <c r="AF36" i="7" s="1"/>
  <c r="AF37" i="8"/>
  <c r="AF37" i="7" s="1"/>
  <c r="AF149" i="7" l="1"/>
  <c r="AF38" i="7"/>
  <c r="AF42" i="7" l="1"/>
  <c r="AF44" i="7" l="1"/>
  <c r="AF41" i="8"/>
  <c r="AF68" i="8" s="1"/>
  <c r="AF32" i="8"/>
  <c r="AF23" i="8"/>
  <c r="AF22" i="8"/>
  <c r="AE55" i="8"/>
  <c r="AE54" i="8"/>
  <c r="AE35" i="8"/>
  <c r="AE21" i="8"/>
  <c r="AE20" i="8"/>
  <c r="AF47" i="7" l="1"/>
  <c r="AF58" i="7"/>
  <c r="AF66" i="7"/>
  <c r="AF45" i="7"/>
  <c r="AF30" i="8"/>
  <c r="AF31" i="8" s="1"/>
  <c r="I186" i="7"/>
  <c r="H186" i="7"/>
  <c r="G186" i="7"/>
  <c r="F186" i="7"/>
  <c r="E186" i="7"/>
  <c r="D186" i="7"/>
  <c r="I174" i="7"/>
  <c r="H174" i="7"/>
  <c r="G174" i="7"/>
  <c r="F174" i="7"/>
  <c r="E174" i="7"/>
  <c r="D174" i="7"/>
  <c r="I173" i="7"/>
  <c r="H173" i="7"/>
  <c r="G173" i="7"/>
  <c r="F173" i="7"/>
  <c r="E173" i="7"/>
  <c r="D173" i="7"/>
  <c r="I117" i="7"/>
  <c r="H117" i="7"/>
  <c r="G117" i="7"/>
  <c r="F117" i="7"/>
  <c r="E117" i="7"/>
  <c r="D117" i="7"/>
  <c r="U127" i="7"/>
  <c r="T127" i="7"/>
  <c r="S127" i="7"/>
  <c r="R127" i="7"/>
  <c r="Q127" i="7"/>
  <c r="P127" i="7"/>
  <c r="O127" i="7"/>
  <c r="N127" i="7"/>
  <c r="V127" i="7"/>
  <c r="Q154" i="7"/>
  <c r="P154" i="7"/>
  <c r="O154" i="7"/>
  <c r="N154" i="7"/>
  <c r="AE127" i="7"/>
  <c r="AD127" i="7"/>
  <c r="AC127" i="7"/>
  <c r="AB127" i="7"/>
  <c r="AA127" i="7"/>
  <c r="Z127" i="7"/>
  <c r="Y127" i="7"/>
  <c r="X127" i="7"/>
  <c r="W127" i="7"/>
  <c r="AE96" i="7"/>
  <c r="AD96" i="7"/>
  <c r="I75" i="7"/>
  <c r="H75" i="7"/>
  <c r="G75" i="7"/>
  <c r="F75" i="7"/>
  <c r="E75" i="7"/>
  <c r="D75" i="7"/>
  <c r="I74" i="7"/>
  <c r="H74" i="7"/>
  <c r="G74" i="7"/>
  <c r="F74" i="7"/>
  <c r="E74" i="7"/>
  <c r="D74" i="7"/>
  <c r="AC75" i="7"/>
  <c r="AB75" i="7"/>
  <c r="AA75" i="7"/>
  <c r="Z75" i="7"/>
  <c r="Y75" i="7"/>
  <c r="X75" i="7"/>
  <c r="W75" i="7"/>
  <c r="V75" i="7"/>
  <c r="AC74" i="7"/>
  <c r="AB74" i="7"/>
  <c r="AA74" i="7"/>
  <c r="Z74" i="7"/>
  <c r="Y74" i="7"/>
  <c r="X74" i="7"/>
  <c r="W74" i="7"/>
  <c r="V74" i="7"/>
  <c r="AE80" i="7"/>
  <c r="AE75" i="7"/>
  <c r="AE74" i="7"/>
  <c r="AE73" i="7"/>
  <c r="AE72" i="7"/>
  <c r="AD74" i="7"/>
  <c r="AD75" i="7"/>
  <c r="I54" i="7"/>
  <c r="I55" i="7"/>
  <c r="AE55" i="7"/>
  <c r="AE54" i="7"/>
  <c r="AE53" i="7"/>
  <c r="AE52" i="7"/>
  <c r="AE51" i="7"/>
  <c r="AC55" i="7"/>
  <c r="AB55" i="7"/>
  <c r="AA55" i="7"/>
  <c r="Z55" i="7"/>
  <c r="Y55" i="7"/>
  <c r="W55" i="7"/>
  <c r="V55" i="7"/>
  <c r="AC54" i="7"/>
  <c r="AB54" i="7"/>
  <c r="AA54" i="7"/>
  <c r="Z54" i="7"/>
  <c r="Y54" i="7"/>
  <c r="W54" i="7"/>
  <c r="V54" i="7"/>
  <c r="AD54" i="7"/>
  <c r="AD55" i="7"/>
  <c r="AE46" i="7"/>
  <c r="AE43" i="7"/>
  <c r="AE67" i="7" s="1"/>
  <c r="AE39" i="7"/>
  <c r="AE37" i="7"/>
  <c r="AE35" i="7"/>
  <c r="AE21" i="7"/>
  <c r="AE20" i="7"/>
  <c r="AE19" i="7"/>
  <c r="AE18" i="7"/>
  <c r="AD37" i="7"/>
  <c r="AC37" i="7"/>
  <c r="AB37" i="7"/>
  <c r="AA37" i="7"/>
  <c r="Z37" i="7"/>
  <c r="Y37" i="7"/>
  <c r="X37" i="7"/>
  <c r="W37" i="7"/>
  <c r="V37" i="7"/>
  <c r="I37" i="7"/>
  <c r="H37" i="7"/>
  <c r="G37" i="7"/>
  <c r="F37" i="7"/>
  <c r="E37" i="7"/>
  <c r="D37" i="7"/>
  <c r="AE10" i="7"/>
  <c r="AE9" i="7"/>
  <c r="AE8" i="7"/>
  <c r="AF38" i="8" l="1"/>
  <c r="AF42" i="8" s="1"/>
  <c r="AF44" i="8" s="1"/>
  <c r="AF45" i="8" s="1"/>
  <c r="AF70" i="7"/>
  <c r="AF59" i="7"/>
  <c r="AE11" i="7"/>
  <c r="AE17" i="7"/>
  <c r="AE22" i="7" s="1"/>
  <c r="AF66" i="8" l="1"/>
  <c r="AF70" i="8" s="1"/>
  <c r="AF78" i="8" s="1"/>
  <c r="AF79" i="8" s="1"/>
  <c r="AF58" i="8"/>
  <c r="AF59" i="8" s="1"/>
  <c r="AF71" i="7"/>
  <c r="AF78" i="7"/>
  <c r="AE11" i="8"/>
  <c r="X54" i="8"/>
  <c r="X54" i="7" s="1"/>
  <c r="AE60" i="8"/>
  <c r="AE60" i="7" s="1"/>
  <c r="AE58" i="8"/>
  <c r="AE67" i="8"/>
  <c r="AE66" i="8"/>
  <c r="AE147" i="7"/>
  <c r="AE145" i="7"/>
  <c r="AE144" i="7"/>
  <c r="AE143" i="7"/>
  <c r="AE142" i="7"/>
  <c r="AE141" i="7"/>
  <c r="AE138" i="7"/>
  <c r="AE137" i="7"/>
  <c r="AE136" i="7"/>
  <c r="AE135" i="7"/>
  <c r="AE134" i="7"/>
  <c r="AE133" i="7"/>
  <c r="AE132" i="7"/>
  <c r="AE131" i="7"/>
  <c r="AE130" i="7"/>
  <c r="AE125" i="7"/>
  <c r="AE124" i="7"/>
  <c r="AE122" i="7"/>
  <c r="AE121" i="7"/>
  <c r="AE120" i="7"/>
  <c r="AE119" i="7"/>
  <c r="AE118" i="7"/>
  <c r="AE117" i="7"/>
  <c r="AE116" i="7"/>
  <c r="AE115" i="7"/>
  <c r="AE109" i="7"/>
  <c r="AE108" i="7"/>
  <c r="AE107" i="7"/>
  <c r="AE106" i="7"/>
  <c r="AE105" i="7"/>
  <c r="AE104" i="7"/>
  <c r="AE103" i="7"/>
  <c r="AE102" i="7"/>
  <c r="AE101" i="7"/>
  <c r="AE100" i="7"/>
  <c r="AE99" i="7"/>
  <c r="AE94" i="7"/>
  <c r="AE93" i="7"/>
  <c r="AE92" i="7"/>
  <c r="AE90" i="7"/>
  <c r="AE89" i="7"/>
  <c r="AE88" i="7"/>
  <c r="AF71" i="8" l="1"/>
  <c r="AF79" i="7"/>
  <c r="AE152" i="8"/>
  <c r="AE152" i="7" s="1"/>
  <c r="AE156" i="8"/>
  <c r="AE87" i="7"/>
  <c r="AE146" i="7"/>
  <c r="AE148" i="7" s="1"/>
  <c r="AE139" i="7"/>
  <c r="AE153" i="8"/>
  <c r="AE153" i="7" s="1"/>
  <c r="AE126" i="7"/>
  <c r="AE128" i="7" s="1"/>
  <c r="AE154" i="8"/>
  <c r="AE154" i="7" s="1"/>
  <c r="AE91" i="7"/>
  <c r="X55" i="8"/>
  <c r="X55" i="7" s="1"/>
  <c r="AE155" i="7" l="1"/>
  <c r="AE155" i="8"/>
  <c r="AE157" i="8" s="1"/>
  <c r="AE149" i="7"/>
  <c r="AE156" i="7"/>
  <c r="AE95" i="7"/>
  <c r="AE97" i="7" s="1"/>
  <c r="AE157" i="7" l="1"/>
  <c r="AE36" i="8" l="1"/>
  <c r="AE36" i="7" s="1"/>
  <c r="AE40" i="8" l="1"/>
  <c r="AE34" i="8"/>
  <c r="AE34" i="7" s="1"/>
  <c r="AE33" i="8"/>
  <c r="AE29" i="8"/>
  <c r="AE29" i="7" s="1"/>
  <c r="AE28" i="8"/>
  <c r="AE27" i="8"/>
  <c r="AE27" i="7" s="1"/>
  <c r="AE26" i="8"/>
  <c r="AE26" i="7" s="1"/>
  <c r="AE25" i="8"/>
  <c r="AE25" i="7" s="1"/>
  <c r="AE24" i="8"/>
  <c r="AE24" i="7" s="1"/>
  <c r="AE17" i="8"/>
  <c r="AE12" i="8" s="1"/>
  <c r="AE12" i="7" s="1"/>
  <c r="AE22" i="8"/>
  <c r="AE59" i="8" s="1"/>
  <c r="AE69" i="8" l="1"/>
  <c r="AE69" i="7" s="1"/>
  <c r="AE28" i="7"/>
  <c r="AE23" i="7" s="1"/>
  <c r="AE30" i="7" s="1"/>
  <c r="AE41" i="8"/>
  <c r="AE68" i="8" s="1"/>
  <c r="AE40" i="7"/>
  <c r="AE41" i="7" s="1"/>
  <c r="AE68" i="7" s="1"/>
  <c r="AE32" i="8"/>
  <c r="AE33" i="7"/>
  <c r="AE32" i="7" s="1"/>
  <c r="AE23" i="8"/>
  <c r="AE30" i="8" s="1"/>
  <c r="AE45" i="8"/>
  <c r="AE70" i="8" l="1"/>
  <c r="AE78" i="8" s="1"/>
  <c r="AE79" i="8" s="1"/>
  <c r="AE38" i="7"/>
  <c r="AE42" i="7" s="1"/>
  <c r="AE44" i="7" s="1"/>
  <c r="AE58" i="7" s="1"/>
  <c r="AE110" i="7"/>
  <c r="AE31" i="7"/>
  <c r="AE31" i="8"/>
  <c r="AE38" i="8"/>
  <c r="AE42" i="8" s="1"/>
  <c r="AA29" i="8"/>
  <c r="Z20" i="8"/>
  <c r="AD60" i="8"/>
  <c r="AE71" i="8" l="1"/>
  <c r="AE45" i="7"/>
  <c r="AE66" i="7"/>
  <c r="AE70" i="7" s="1"/>
  <c r="AE78" i="7" s="1"/>
  <c r="AE47" i="7"/>
  <c r="AE59" i="7"/>
  <c r="AD147" i="7"/>
  <c r="AD145" i="7"/>
  <c r="AD144" i="7"/>
  <c r="AD143" i="7"/>
  <c r="AD142" i="7"/>
  <c r="AD141" i="7"/>
  <c r="AD138" i="7"/>
  <c r="AD137" i="7"/>
  <c r="AD136" i="7"/>
  <c r="AD135" i="7"/>
  <c r="AD134" i="7"/>
  <c r="AD133" i="7"/>
  <c r="AD132" i="7"/>
  <c r="AD131" i="7"/>
  <c r="AD130" i="7"/>
  <c r="AD125" i="7"/>
  <c r="AD124" i="7"/>
  <c r="AD122" i="7"/>
  <c r="AD121" i="7"/>
  <c r="AD120" i="7"/>
  <c r="AD119" i="7"/>
  <c r="AD118" i="7"/>
  <c r="AD116" i="7"/>
  <c r="AD115" i="7"/>
  <c r="AD109" i="7"/>
  <c r="AD108" i="7"/>
  <c r="AD107" i="7"/>
  <c r="AD106" i="7"/>
  <c r="AD105" i="7"/>
  <c r="AD104" i="7"/>
  <c r="AD103" i="7"/>
  <c r="AD102" i="7"/>
  <c r="AD101" i="7"/>
  <c r="AD100" i="7"/>
  <c r="AD99" i="7"/>
  <c r="AD94" i="7"/>
  <c r="AD93" i="7"/>
  <c r="AD92" i="7"/>
  <c r="AD91" i="7"/>
  <c r="AD90" i="7"/>
  <c r="AD89" i="7"/>
  <c r="AD88" i="7"/>
  <c r="AD87" i="7"/>
  <c r="AD80" i="7"/>
  <c r="AD73" i="7"/>
  <c r="AD72" i="7"/>
  <c r="AD60" i="7"/>
  <c r="AD46" i="7"/>
  <c r="AD43" i="7"/>
  <c r="AD67" i="7" s="1"/>
  <c r="AD40" i="7"/>
  <c r="AD39" i="7"/>
  <c r="AD34" i="7"/>
  <c r="AD33" i="7"/>
  <c r="AD29" i="7"/>
  <c r="AD28" i="7"/>
  <c r="AD27" i="7"/>
  <c r="AD26" i="7"/>
  <c r="AD25" i="7"/>
  <c r="AD24" i="7"/>
  <c r="AD21" i="7"/>
  <c r="AD19" i="7"/>
  <c r="AD18" i="7"/>
  <c r="AD10" i="7"/>
  <c r="AD9" i="7"/>
  <c r="AD8" i="7"/>
  <c r="AD11" i="8"/>
  <c r="AE79" i="7" l="1"/>
  <c r="AE71" i="7"/>
  <c r="AE111" i="7"/>
  <c r="AD156" i="7"/>
  <c r="AD95" i="7"/>
  <c r="AD97" i="7" s="1"/>
  <c r="AD146" i="7"/>
  <c r="AD148" i="7" s="1"/>
  <c r="AD23" i="7"/>
  <c r="AD11" i="7"/>
  <c r="AD41" i="7"/>
  <c r="AD68" i="7" s="1"/>
  <c r="AD126" i="7"/>
  <c r="AD128" i="7" s="1"/>
  <c r="AD139" i="7"/>
  <c r="AD69" i="8"/>
  <c r="AD69" i="7" s="1"/>
  <c r="AD67" i="8"/>
  <c r="AD20" i="8"/>
  <c r="AD36" i="8"/>
  <c r="AD36" i="7" s="1"/>
  <c r="AD35" i="8"/>
  <c r="AD35" i="7" s="1"/>
  <c r="AD32" i="7" s="1"/>
  <c r="AD23" i="8"/>
  <c r="AD41" i="8"/>
  <c r="AD68" i="8" s="1"/>
  <c r="AD156" i="8"/>
  <c r="AD154" i="8"/>
  <c r="AD154" i="7" s="1"/>
  <c r="AD153" i="8"/>
  <c r="AD153" i="7" s="1"/>
  <c r="AD152" i="8"/>
  <c r="AD152" i="7" s="1"/>
  <c r="AD146" i="8"/>
  <c r="AD148" i="8" s="1"/>
  <c r="AD139" i="8"/>
  <c r="AD126" i="8"/>
  <c r="AD128" i="8" s="1"/>
  <c r="AD110" i="8"/>
  <c r="AD95" i="8"/>
  <c r="AD97" i="8" s="1"/>
  <c r="AD155" i="7" l="1"/>
  <c r="AD157" i="7" s="1"/>
  <c r="AD149" i="7"/>
  <c r="AD149" i="8"/>
  <c r="AD20" i="7"/>
  <c r="AD17" i="7" s="1"/>
  <c r="AD22" i="7" s="1"/>
  <c r="AD30" i="7" s="1"/>
  <c r="AD38" i="7" s="1"/>
  <c r="AD42" i="7" s="1"/>
  <c r="AD44" i="7" s="1"/>
  <c r="AD22" i="8"/>
  <c r="AD30" i="8" s="1"/>
  <c r="AD31" i="8" s="1"/>
  <c r="AD17" i="8"/>
  <c r="AD12" i="8" s="1"/>
  <c r="AD12" i="7" s="1"/>
  <c r="AD111" i="8"/>
  <c r="AD111" i="7" s="1"/>
  <c r="AD110" i="7"/>
  <c r="AD32" i="8"/>
  <c r="AD155" i="8"/>
  <c r="AD157" i="8" s="1"/>
  <c r="X143" i="8"/>
  <c r="V143" i="8"/>
  <c r="AA8" i="8"/>
  <c r="AB8" i="8" s="1"/>
  <c r="AC8" i="8" s="1"/>
  <c r="I154" i="8"/>
  <c r="I154" i="7" s="1"/>
  <c r="Z143" i="8"/>
  <c r="AD66" i="7" l="1"/>
  <c r="AD70" i="7" s="1"/>
  <c r="AD71" i="7" s="1"/>
  <c r="AD38" i="8"/>
  <c r="AD42" i="8" s="1"/>
  <c r="AD44" i="8" s="1"/>
  <c r="AD45" i="8" s="1"/>
  <c r="AD31" i="7"/>
  <c r="AD47" i="7"/>
  <c r="AD45" i="7"/>
  <c r="Y145" i="8"/>
  <c r="AD78" i="7" l="1"/>
  <c r="AD79" i="7" s="1"/>
  <c r="AD66" i="8"/>
  <c r="AD70" i="8" s="1"/>
  <c r="AC18" i="7"/>
  <c r="AC19" i="7"/>
  <c r="AC22" i="8"/>
  <c r="I109" i="7"/>
  <c r="I108" i="7"/>
  <c r="I107" i="7"/>
  <c r="I106" i="7"/>
  <c r="I105" i="7"/>
  <c r="I104" i="7"/>
  <c r="I103" i="7"/>
  <c r="I102" i="7"/>
  <c r="I101" i="7"/>
  <c r="I100" i="7"/>
  <c r="I34" i="7"/>
  <c r="I33" i="7"/>
  <c r="AC73" i="7"/>
  <c r="AC72" i="7"/>
  <c r="AC46" i="7"/>
  <c r="AC43" i="7"/>
  <c r="AC67" i="7" s="1"/>
  <c r="AC40" i="7"/>
  <c r="AC39" i="7"/>
  <c r="AC35" i="7"/>
  <c r="AC34" i="7"/>
  <c r="AC33" i="7"/>
  <c r="AC29" i="7"/>
  <c r="AC28" i="7"/>
  <c r="AC27" i="7"/>
  <c r="AC26" i="7"/>
  <c r="AC25" i="7"/>
  <c r="AC24" i="7"/>
  <c r="AC21" i="7"/>
  <c r="AC10" i="7"/>
  <c r="AC9" i="7"/>
  <c r="I172" i="8"/>
  <c r="AC69" i="8"/>
  <c r="AC67" i="8"/>
  <c r="I69" i="8"/>
  <c r="AC68" i="8"/>
  <c r="AC32" i="8"/>
  <c r="AC23" i="8"/>
  <c r="AC11" i="8"/>
  <c r="I8" i="8"/>
  <c r="AC52" i="8"/>
  <c r="H46" i="8"/>
  <c r="H43" i="8"/>
  <c r="I41" i="8"/>
  <c r="G41" i="8"/>
  <c r="AD71" i="8" l="1"/>
  <c r="AD78" i="8"/>
  <c r="AD79" i="8" s="1"/>
  <c r="AC30" i="8"/>
  <c r="AC53" i="7"/>
  <c r="AD53" i="7"/>
  <c r="AC52" i="7"/>
  <c r="AD52" i="8"/>
  <c r="AC11" i="7"/>
  <c r="AC41" i="7"/>
  <c r="AC68" i="7" s="1"/>
  <c r="AC32" i="7"/>
  <c r="AC23" i="7"/>
  <c r="AC69" i="7"/>
  <c r="AC20" i="7"/>
  <c r="AC17" i="7" s="1"/>
  <c r="AC22" i="7" s="1"/>
  <c r="AC17" i="8"/>
  <c r="AC12" i="8" s="1"/>
  <c r="AC12" i="7" s="1"/>
  <c r="H39" i="8"/>
  <c r="I36" i="8"/>
  <c r="I35" i="8"/>
  <c r="H35" i="8"/>
  <c r="I23" i="8"/>
  <c r="I21" i="8"/>
  <c r="I20" i="8"/>
  <c r="I17" i="8" s="1"/>
  <c r="I12" i="8" s="1"/>
  <c r="H21" i="8"/>
  <c r="I217" i="8"/>
  <c r="I212" i="8"/>
  <c r="I201" i="8"/>
  <c r="I152" i="8"/>
  <c r="I152" i="7" s="1"/>
  <c r="H153" i="8"/>
  <c r="H153" i="7" s="1"/>
  <c r="G152" i="8"/>
  <c r="G152" i="7" s="1"/>
  <c r="H152" i="8"/>
  <c r="H152" i="7" s="1"/>
  <c r="I153" i="8"/>
  <c r="I156" i="8"/>
  <c r="AC156" i="8" s="1"/>
  <c r="AC154" i="8"/>
  <c r="AC154" i="7" s="1"/>
  <c r="AC147" i="8"/>
  <c r="AC147" i="7" s="1"/>
  <c r="AC142" i="8"/>
  <c r="AC142" i="7" s="1"/>
  <c r="AC143" i="8"/>
  <c r="AC143" i="7" s="1"/>
  <c r="AC144" i="8"/>
  <c r="AC144" i="7" s="1"/>
  <c r="AC145" i="8"/>
  <c r="AC145" i="7" s="1"/>
  <c r="AC141" i="8"/>
  <c r="AC141" i="7" s="1"/>
  <c r="I146" i="8"/>
  <c r="AC146" i="8" s="1"/>
  <c r="I139" i="8"/>
  <c r="AC139" i="8" s="1"/>
  <c r="AC131" i="8"/>
  <c r="AC131" i="7" s="1"/>
  <c r="AC132" i="8"/>
  <c r="AC132" i="7" s="1"/>
  <c r="AC133" i="8"/>
  <c r="AC133" i="7" s="1"/>
  <c r="AC134" i="8"/>
  <c r="AC134" i="7" s="1"/>
  <c r="AC135" i="8"/>
  <c r="AC135" i="7" s="1"/>
  <c r="AC136" i="8"/>
  <c r="AC136" i="7" s="1"/>
  <c r="AC137" i="8"/>
  <c r="AC137" i="7" s="1"/>
  <c r="AC138" i="8"/>
  <c r="AC138" i="7" s="1"/>
  <c r="AC130" i="8"/>
  <c r="AC130" i="7" s="1"/>
  <c r="AC116" i="8"/>
  <c r="AC116" i="7" s="1"/>
  <c r="AC118" i="8"/>
  <c r="AC118" i="7" s="1"/>
  <c r="AC119" i="8"/>
  <c r="AC119" i="7" s="1"/>
  <c r="AC120" i="8"/>
  <c r="AC120" i="7" s="1"/>
  <c r="AC121" i="8"/>
  <c r="AC121" i="7" s="1"/>
  <c r="AC122" i="8"/>
  <c r="AC122" i="7" s="1"/>
  <c r="AC124" i="8"/>
  <c r="AC124" i="7" s="1"/>
  <c r="AC125" i="8"/>
  <c r="AC125" i="7" s="1"/>
  <c r="AC115" i="8"/>
  <c r="AC115" i="7" s="1"/>
  <c r="I126" i="8"/>
  <c r="AC100" i="8"/>
  <c r="AC100" i="7" s="1"/>
  <c r="AC101" i="8"/>
  <c r="AC101" i="7" s="1"/>
  <c r="AC102" i="8"/>
  <c r="AC102" i="7" s="1"/>
  <c r="AC103" i="8"/>
  <c r="AC103" i="7" s="1"/>
  <c r="AC104" i="8"/>
  <c r="AC104" i="7" s="1"/>
  <c r="AC105" i="8"/>
  <c r="AC105" i="7" s="1"/>
  <c r="AC106" i="8"/>
  <c r="AC106" i="7" s="1"/>
  <c r="AC107" i="8"/>
  <c r="AC107" i="7" s="1"/>
  <c r="AC108" i="8"/>
  <c r="AC108" i="7" s="1"/>
  <c r="AC109" i="8"/>
  <c r="AC109" i="7" s="1"/>
  <c r="AC99" i="8"/>
  <c r="AC99" i="7" s="1"/>
  <c r="AC88" i="8"/>
  <c r="AC88" i="7" s="1"/>
  <c r="AC89" i="8"/>
  <c r="AC89" i="7" s="1"/>
  <c r="AC90" i="8"/>
  <c r="AC90" i="7" s="1"/>
  <c r="AC91" i="8"/>
  <c r="AC91" i="7" s="1"/>
  <c r="AC92" i="8"/>
  <c r="AC92" i="7" s="1"/>
  <c r="AC93" i="8"/>
  <c r="AC93" i="7" s="1"/>
  <c r="AC94" i="8"/>
  <c r="AC94" i="7" s="1"/>
  <c r="AC87" i="8"/>
  <c r="AC87" i="7" s="1"/>
  <c r="I110" i="8"/>
  <c r="I110" i="7" s="1"/>
  <c r="I95" i="8"/>
  <c r="AD52" i="7" l="1"/>
  <c r="AC153" i="8"/>
  <c r="AC153" i="7" s="1"/>
  <c r="I153" i="7"/>
  <c r="I155" i="7" s="1"/>
  <c r="AC126" i="7"/>
  <c r="AC128" i="7" s="1"/>
  <c r="AC126" i="8"/>
  <c r="AC128" i="8" s="1"/>
  <c r="I128" i="8"/>
  <c r="I97" i="8"/>
  <c r="AC156" i="7"/>
  <c r="I111" i="8"/>
  <c r="AC111" i="8" s="1"/>
  <c r="AC111" i="7" s="1"/>
  <c r="AC110" i="8"/>
  <c r="AC110" i="7" s="1"/>
  <c r="AC139" i="7"/>
  <c r="AC146" i="7"/>
  <c r="AC148" i="7" s="1"/>
  <c r="AC95" i="8"/>
  <c r="AC97" i="8" s="1"/>
  <c r="I155" i="8"/>
  <c r="I35" i="7"/>
  <c r="I32" i="8"/>
  <c r="I148" i="8"/>
  <c r="AC148" i="8" s="1"/>
  <c r="AC30" i="7"/>
  <c r="AC31" i="7" s="1"/>
  <c r="I22" i="8"/>
  <c r="AC152" i="8"/>
  <c r="AC152" i="7" s="1"/>
  <c r="AB35" i="8"/>
  <c r="AC155" i="7" l="1"/>
  <c r="AC157" i="7" s="1"/>
  <c r="I157" i="8"/>
  <c r="AC149" i="7"/>
  <c r="I149" i="8"/>
  <c r="I150" i="8" s="1"/>
  <c r="I111" i="7"/>
  <c r="AC155" i="8"/>
  <c r="I30" i="8"/>
  <c r="AB147" i="7"/>
  <c r="AB144" i="7"/>
  <c r="AB143" i="7"/>
  <c r="AB142" i="7"/>
  <c r="AB141" i="7"/>
  <c r="AB138" i="7"/>
  <c r="AB137" i="7"/>
  <c r="AB136" i="7"/>
  <c r="AB135" i="7"/>
  <c r="AB134" i="7"/>
  <c r="AB133" i="7"/>
  <c r="AB132" i="7"/>
  <c r="AB130" i="7"/>
  <c r="AB125" i="7"/>
  <c r="AB124" i="7"/>
  <c r="AB122" i="7"/>
  <c r="AB121" i="7"/>
  <c r="AB120" i="7"/>
  <c r="AB119" i="7"/>
  <c r="AB118" i="7"/>
  <c r="AB116" i="7"/>
  <c r="AB115" i="7"/>
  <c r="AB109" i="7"/>
  <c r="AB108" i="7"/>
  <c r="AB107" i="7"/>
  <c r="AB106" i="7"/>
  <c r="AB104" i="7"/>
  <c r="AB102" i="7"/>
  <c r="AB101" i="7"/>
  <c r="AB99" i="7"/>
  <c r="AB94" i="7"/>
  <c r="AB93" i="7"/>
  <c r="AB92" i="7"/>
  <c r="AB91" i="7"/>
  <c r="AB90" i="7"/>
  <c r="AB89" i="7"/>
  <c r="AB88" i="7"/>
  <c r="AB87" i="7"/>
  <c r="AB73" i="7"/>
  <c r="AB72" i="7"/>
  <c r="AB53" i="7"/>
  <c r="AB52" i="7"/>
  <c r="AB46" i="7"/>
  <c r="AB43" i="7"/>
  <c r="AB67" i="7" s="1"/>
  <c r="AB40" i="7"/>
  <c r="AB39" i="7"/>
  <c r="AB35" i="7"/>
  <c r="AB34" i="7"/>
  <c r="AB33" i="7"/>
  <c r="AB29" i="7"/>
  <c r="AB28" i="7"/>
  <c r="AB27" i="7"/>
  <c r="AB26" i="7"/>
  <c r="AB25" i="7"/>
  <c r="AB24" i="7"/>
  <c r="AB20" i="7"/>
  <c r="AB19" i="7"/>
  <c r="AB18" i="7"/>
  <c r="AB156" i="8"/>
  <c r="AB153" i="8"/>
  <c r="AB153" i="7" s="1"/>
  <c r="AB152" i="8"/>
  <c r="AB152" i="7" s="1"/>
  <c r="AB145" i="7"/>
  <c r="AB131" i="8"/>
  <c r="AB131" i="7" s="1"/>
  <c r="AB126" i="8"/>
  <c r="AB128" i="8" s="1"/>
  <c r="AB105" i="8"/>
  <c r="AB105" i="7" s="1"/>
  <c r="AB100" i="8"/>
  <c r="AB100" i="7" s="1"/>
  <c r="AB95" i="8"/>
  <c r="AB97" i="8" s="1"/>
  <c r="AB69" i="8"/>
  <c r="AB69" i="7" s="1"/>
  <c r="AB67" i="8"/>
  <c r="AB36" i="8"/>
  <c r="AB36" i="7" s="1"/>
  <c r="AB41" i="8"/>
  <c r="AB68" i="8" s="1"/>
  <c r="AB23" i="8"/>
  <c r="AB32" i="8"/>
  <c r="AB22" i="8"/>
  <c r="AB17" i="8"/>
  <c r="AB12" i="8" s="1"/>
  <c r="AB10" i="7"/>
  <c r="AB9" i="7"/>
  <c r="AC157" i="8" l="1"/>
  <c r="AB126" i="7"/>
  <c r="AB128" i="7" s="1"/>
  <c r="AB95" i="7"/>
  <c r="AB97" i="7" s="1"/>
  <c r="AC149" i="8"/>
  <c r="I38" i="8"/>
  <c r="I42" i="8" s="1"/>
  <c r="I44" i="8" s="1"/>
  <c r="I31" i="8"/>
  <c r="AB41" i="7"/>
  <c r="AB68" i="7" s="1"/>
  <c r="AB110" i="7"/>
  <c r="AB110" i="8"/>
  <c r="AB111" i="8" s="1"/>
  <c r="AB146" i="8"/>
  <c r="AB148" i="8" s="1"/>
  <c r="AB154" i="8"/>
  <c r="AB139" i="8"/>
  <c r="AB21" i="7"/>
  <c r="AB139" i="7"/>
  <c r="AB32" i="7"/>
  <c r="AB156" i="7"/>
  <c r="AB17" i="7"/>
  <c r="AB146" i="7"/>
  <c r="AB148" i="7" s="1"/>
  <c r="AB23" i="7"/>
  <c r="AB30" i="8"/>
  <c r="AB31" i="8" s="1"/>
  <c r="AB11" i="7"/>
  <c r="AB12" i="7"/>
  <c r="AB11" i="8"/>
  <c r="AB155" i="8" l="1"/>
  <c r="AB157" i="8" s="1"/>
  <c r="AB154" i="7"/>
  <c r="AB155" i="7" s="1"/>
  <c r="AB157" i="7" s="1"/>
  <c r="AB149" i="7"/>
  <c r="I161" i="8"/>
  <c r="I176" i="8" s="1"/>
  <c r="I188" i="8" s="1"/>
  <c r="I191" i="8" s="1"/>
  <c r="I214" i="8" s="1"/>
  <c r="AB149" i="8"/>
  <c r="AB111" i="7"/>
  <c r="AB22" i="7"/>
  <c r="AB30" i="7" s="1"/>
  <c r="AB38" i="8"/>
  <c r="AB42" i="8" s="1"/>
  <c r="AB44" i="8" s="1"/>
  <c r="I10" i="7"/>
  <c r="I9" i="7"/>
  <c r="I147" i="7"/>
  <c r="I144" i="7"/>
  <c r="I143" i="7"/>
  <c r="I142" i="7"/>
  <c r="I141" i="7"/>
  <c r="I138" i="7"/>
  <c r="I137" i="7"/>
  <c r="I136" i="7"/>
  <c r="I135" i="7"/>
  <c r="I134" i="7"/>
  <c r="I133" i="7"/>
  <c r="I132" i="7"/>
  <c r="I131" i="7"/>
  <c r="I130" i="7"/>
  <c r="I125" i="7"/>
  <c r="I124" i="7"/>
  <c r="I122" i="7"/>
  <c r="I121" i="7"/>
  <c r="I120" i="7"/>
  <c r="I119" i="7"/>
  <c r="I118" i="7"/>
  <c r="I116" i="7"/>
  <c r="I115" i="7"/>
  <c r="I99" i="7"/>
  <c r="I94" i="7"/>
  <c r="I93" i="7"/>
  <c r="I92" i="7"/>
  <c r="I91" i="7"/>
  <c r="I90" i="7"/>
  <c r="I89" i="7"/>
  <c r="I88" i="7"/>
  <c r="I87" i="7"/>
  <c r="I211" i="7"/>
  <c r="I209" i="7"/>
  <c r="I207" i="7"/>
  <c r="I206" i="7"/>
  <c r="I205" i="7"/>
  <c r="I204" i="7"/>
  <c r="I203" i="7"/>
  <c r="I200" i="7"/>
  <c r="I198" i="7"/>
  <c r="I197" i="7"/>
  <c r="I195" i="7"/>
  <c r="I194" i="7"/>
  <c r="I193" i="7"/>
  <c r="I190" i="7"/>
  <c r="I189" i="7"/>
  <c r="I187" i="7"/>
  <c r="I185" i="7"/>
  <c r="I184" i="7"/>
  <c r="I183" i="7"/>
  <c r="I182" i="7"/>
  <c r="I181" i="7"/>
  <c r="I180" i="7"/>
  <c r="I179" i="7"/>
  <c r="I178" i="7"/>
  <c r="I175" i="7"/>
  <c r="I172" i="7"/>
  <c r="I171" i="7"/>
  <c r="I170" i="7"/>
  <c r="I169" i="7"/>
  <c r="I168" i="7"/>
  <c r="I167" i="7"/>
  <c r="I166" i="7"/>
  <c r="I165" i="7"/>
  <c r="I164" i="7"/>
  <c r="I163" i="7"/>
  <c r="AA73" i="7"/>
  <c r="AA72" i="7"/>
  <c r="AA53" i="7"/>
  <c r="AA52" i="7"/>
  <c r="AA46" i="7"/>
  <c r="AA43" i="7"/>
  <c r="AA67" i="7" s="1"/>
  <c r="AA40" i="7"/>
  <c r="AA39" i="7"/>
  <c r="AA35" i="7"/>
  <c r="AA34" i="7"/>
  <c r="AA33" i="7"/>
  <c r="AA28" i="7"/>
  <c r="AA27" i="7"/>
  <c r="AA26" i="7"/>
  <c r="AA25" i="7"/>
  <c r="AA24" i="7"/>
  <c r="AA20" i="7"/>
  <c r="AA19" i="7"/>
  <c r="AA18" i="7"/>
  <c r="AA10" i="7"/>
  <c r="AA9" i="7"/>
  <c r="I216" i="7"/>
  <c r="AA69" i="8"/>
  <c r="AA145" i="7"/>
  <c r="AA147" i="7"/>
  <c r="AA144" i="7"/>
  <c r="AA143" i="7"/>
  <c r="AA142" i="7"/>
  <c r="AA141" i="7"/>
  <c r="AA138" i="7"/>
  <c r="AA137" i="7"/>
  <c r="AA136" i="7"/>
  <c r="AA135" i="7"/>
  <c r="AA134" i="7"/>
  <c r="AA133" i="7"/>
  <c r="AA132" i="7"/>
  <c r="AA131" i="7"/>
  <c r="AA153" i="8"/>
  <c r="AA153" i="7" s="1"/>
  <c r="H154" i="7"/>
  <c r="H155" i="7" s="1"/>
  <c r="G154" i="8"/>
  <c r="G154" i="7" s="1"/>
  <c r="F154" i="8"/>
  <c r="F154" i="7" s="1"/>
  <c r="E154" i="8"/>
  <c r="E154" i="7" s="1"/>
  <c r="D154" i="8"/>
  <c r="D154" i="7" s="1"/>
  <c r="AA125" i="7"/>
  <c r="AA124" i="7"/>
  <c r="AA122" i="7"/>
  <c r="AA121" i="7"/>
  <c r="AA120" i="7"/>
  <c r="AA119" i="7"/>
  <c r="AA118" i="7"/>
  <c r="AA152" i="8"/>
  <c r="AA152" i="7" s="1"/>
  <c r="AA115" i="7"/>
  <c r="AA109" i="7"/>
  <c r="AA108" i="7"/>
  <c r="AA107" i="7"/>
  <c r="AA106" i="7"/>
  <c r="AA105" i="7"/>
  <c r="AA104" i="7"/>
  <c r="AA102" i="7"/>
  <c r="AA101" i="7"/>
  <c r="AA100" i="7"/>
  <c r="AA99" i="7"/>
  <c r="AA94" i="7"/>
  <c r="AA93" i="7"/>
  <c r="AA92" i="7"/>
  <c r="AA91" i="7"/>
  <c r="AA90" i="7"/>
  <c r="AA89" i="7"/>
  <c r="AA88" i="7"/>
  <c r="AA156" i="8"/>
  <c r="AA67" i="8"/>
  <c r="X51" i="8"/>
  <c r="W51" i="8"/>
  <c r="V51" i="8"/>
  <c r="Y51" i="8"/>
  <c r="Y67" i="8"/>
  <c r="I53" i="7"/>
  <c r="I52" i="7"/>
  <c r="I47" i="7"/>
  <c r="I46" i="7"/>
  <c r="I67" i="8"/>
  <c r="I40" i="7"/>
  <c r="AA41" i="8"/>
  <c r="AA68" i="8" s="1"/>
  <c r="I39" i="7"/>
  <c r="AA36" i="8"/>
  <c r="AC36" i="7" s="1"/>
  <c r="AC38" i="7" s="1"/>
  <c r="AC42" i="7" s="1"/>
  <c r="AC44" i="7" s="1"/>
  <c r="AA32" i="8"/>
  <c r="I25" i="7"/>
  <c r="I29" i="7"/>
  <c r="I28" i="7"/>
  <c r="I27" i="7"/>
  <c r="I26" i="7"/>
  <c r="I24" i="7"/>
  <c r="AA22" i="8"/>
  <c r="AA17" i="8"/>
  <c r="AA12" i="8" s="1"/>
  <c r="AA12" i="7" s="1"/>
  <c r="I20" i="7"/>
  <c r="I19" i="7"/>
  <c r="I18" i="7"/>
  <c r="AA11" i="8"/>
  <c r="I126" i="7" l="1"/>
  <c r="I128" i="7" s="1"/>
  <c r="I95" i="7"/>
  <c r="I161" i="7"/>
  <c r="I176" i="7" s="1"/>
  <c r="I188" i="7" s="1"/>
  <c r="I191" i="7" s="1"/>
  <c r="AC47" i="7"/>
  <c r="AC45" i="7"/>
  <c r="AC66" i="7"/>
  <c r="AC70" i="7" s="1"/>
  <c r="AC78" i="7" s="1"/>
  <c r="AA36" i="7"/>
  <c r="I72" i="7"/>
  <c r="I73" i="7"/>
  <c r="AB38" i="7"/>
  <c r="AB42" i="7" s="1"/>
  <c r="AB44" i="7" s="1"/>
  <c r="AB31" i="7"/>
  <c r="I17" i="7"/>
  <c r="AB45" i="8"/>
  <c r="AB47" i="8"/>
  <c r="AB66" i="8"/>
  <c r="AB70" i="8" s="1"/>
  <c r="I36" i="7"/>
  <c r="I11" i="7"/>
  <c r="I41" i="7"/>
  <c r="I68" i="7" s="1"/>
  <c r="I32" i="7"/>
  <c r="I23" i="7"/>
  <c r="AA116" i="7"/>
  <c r="AA130" i="7"/>
  <c r="AA139" i="7" s="1"/>
  <c r="I145" i="7"/>
  <c r="I146" i="7" s="1"/>
  <c r="I148" i="7" s="1"/>
  <c r="AA69" i="7"/>
  <c r="I156" i="7"/>
  <c r="I43" i="7"/>
  <c r="I67" i="7" s="1"/>
  <c r="AA29" i="7"/>
  <c r="AA23" i="7" s="1"/>
  <c r="AA87" i="7"/>
  <c r="AA21" i="7"/>
  <c r="I212" i="7"/>
  <c r="I201" i="7"/>
  <c r="I139" i="7"/>
  <c r="AA32" i="7"/>
  <c r="AA146" i="7"/>
  <c r="AA148" i="7" s="1"/>
  <c r="AA17" i="7"/>
  <c r="AA110" i="7"/>
  <c r="AA11" i="7"/>
  <c r="AA41" i="7"/>
  <c r="AA68" i="7" s="1"/>
  <c r="I21" i="7"/>
  <c r="AA23" i="8"/>
  <c r="AA154" i="8"/>
  <c r="AA146" i="8"/>
  <c r="AA148" i="8" s="1"/>
  <c r="AA139" i="8"/>
  <c r="AA126" i="8"/>
  <c r="AA128" i="8" s="1"/>
  <c r="AA110" i="8"/>
  <c r="AA95" i="8"/>
  <c r="AA97" i="8" s="1"/>
  <c r="AB78" i="8" l="1"/>
  <c r="AB79" i="8" s="1"/>
  <c r="AA155" i="8"/>
  <c r="AA157" i="8" s="1"/>
  <c r="AA154" i="7"/>
  <c r="AA155" i="7" s="1"/>
  <c r="AC95" i="7"/>
  <c r="AC97" i="7" s="1"/>
  <c r="I97" i="7"/>
  <c r="AA126" i="7"/>
  <c r="AA128" i="7" s="1"/>
  <c r="AA149" i="7" s="1"/>
  <c r="AA156" i="7"/>
  <c r="AA95" i="7"/>
  <c r="AA97" i="7" s="1"/>
  <c r="AA111" i="7" s="1"/>
  <c r="AC71" i="7"/>
  <c r="AC79" i="7"/>
  <c r="I45" i="8"/>
  <c r="I69" i="7"/>
  <c r="AB66" i="7"/>
  <c r="AB70" i="7" s="1"/>
  <c r="AB47" i="7"/>
  <c r="AB45" i="7"/>
  <c r="AA30" i="8"/>
  <c r="AA38" i="8" s="1"/>
  <c r="AB71" i="8"/>
  <c r="I157" i="7"/>
  <c r="AA22" i="7"/>
  <c r="AA30" i="7" s="1"/>
  <c r="AA38" i="7" s="1"/>
  <c r="AA42" i="7" s="1"/>
  <c r="AA44" i="7" s="1"/>
  <c r="I22" i="7"/>
  <c r="I30" i="7" s="1"/>
  <c r="I38" i="7" s="1"/>
  <c r="I42" i="7" s="1"/>
  <c r="I44" i="7" s="1"/>
  <c r="I214" i="7"/>
  <c r="I149" i="7"/>
  <c r="AA149" i="8"/>
  <c r="AA111" i="8"/>
  <c r="I12" i="7"/>
  <c r="AB78" i="7" l="1"/>
  <c r="AB79" i="7" s="1"/>
  <c r="AA157" i="7"/>
  <c r="AB71" i="7"/>
  <c r="AA42" i="8"/>
  <c r="AA44" i="8" s="1"/>
  <c r="AA31" i="8"/>
  <c r="I45" i="7"/>
  <c r="I31" i="7"/>
  <c r="I150" i="7"/>
  <c r="AA31" i="7"/>
  <c r="I66" i="7"/>
  <c r="I70" i="7" s="1"/>
  <c r="I78" i="7" s="1"/>
  <c r="AA45" i="7"/>
  <c r="AA66" i="7"/>
  <c r="AA70" i="7" s="1"/>
  <c r="AA78" i="7" s="1"/>
  <c r="AA47" i="7"/>
  <c r="I71" i="7" l="1"/>
  <c r="I79" i="7"/>
  <c r="AA71" i="7"/>
  <c r="AA79" i="7"/>
  <c r="AA66" i="8" l="1"/>
  <c r="AA70" i="8" s="1"/>
  <c r="AA78" i="8" s="1"/>
  <c r="AA47" i="8"/>
  <c r="AA45" i="8"/>
  <c r="H200" i="7"/>
  <c r="G200" i="7"/>
  <c r="H198" i="7"/>
  <c r="G198" i="7"/>
  <c r="H197" i="7"/>
  <c r="G197" i="7"/>
  <c r="Z147" i="7"/>
  <c r="Z144" i="7"/>
  <c r="Z142" i="7"/>
  <c r="Z141" i="7"/>
  <c r="Z138" i="7"/>
  <c r="Z137" i="7"/>
  <c r="Z136" i="7"/>
  <c r="Z135" i="7"/>
  <c r="Z134" i="7"/>
  <c r="Z133" i="7"/>
  <c r="Z132" i="7"/>
  <c r="Z131" i="7"/>
  <c r="Z130" i="7"/>
  <c r="Z125" i="7"/>
  <c r="Z124" i="7"/>
  <c r="Z122" i="7"/>
  <c r="Z121" i="7"/>
  <c r="Z120" i="7"/>
  <c r="Z119" i="7"/>
  <c r="Z118" i="7"/>
  <c r="Z116" i="7"/>
  <c r="Z115" i="7"/>
  <c r="Z109" i="7"/>
  <c r="Z108" i="7"/>
  <c r="Z107" i="7"/>
  <c r="Z106" i="7"/>
  <c r="Z104" i="7"/>
  <c r="Z102" i="7"/>
  <c r="Z101" i="7"/>
  <c r="Z99" i="7"/>
  <c r="Z94" i="7"/>
  <c r="Z93" i="7"/>
  <c r="Z92" i="7"/>
  <c r="Z91" i="7"/>
  <c r="Z90" i="7"/>
  <c r="Z89" i="7"/>
  <c r="Z88" i="7"/>
  <c r="Z87" i="7"/>
  <c r="Z80" i="7"/>
  <c r="Z73" i="7"/>
  <c r="Z72" i="7"/>
  <c r="Z69" i="7"/>
  <c r="Z53" i="7"/>
  <c r="Z52" i="7"/>
  <c r="Z46" i="7"/>
  <c r="Z43" i="7"/>
  <c r="Z67" i="7" s="1"/>
  <c r="Z40" i="7"/>
  <c r="Z39" i="7"/>
  <c r="Z34" i="7"/>
  <c r="Z33" i="7"/>
  <c r="Z28" i="7"/>
  <c r="Z27" i="7"/>
  <c r="Z26" i="7"/>
  <c r="Z25" i="7"/>
  <c r="Z24" i="7"/>
  <c r="Z20" i="7"/>
  <c r="Z19" i="7"/>
  <c r="Z18" i="7"/>
  <c r="Z10" i="7"/>
  <c r="Z9" i="7"/>
  <c r="Z8" i="7"/>
  <c r="Z35" i="7"/>
  <c r="Z11" i="8"/>
  <c r="Z126" i="7" l="1"/>
  <c r="Z128" i="7" s="1"/>
  <c r="Z95" i="7"/>
  <c r="Z97" i="7" s="1"/>
  <c r="AA71" i="8"/>
  <c r="AA79" i="8"/>
  <c r="I8" i="7"/>
  <c r="AA8" i="7"/>
  <c r="Z156" i="7"/>
  <c r="Z11" i="7"/>
  <c r="Z41" i="7"/>
  <c r="Z68" i="7" s="1"/>
  <c r="Z17" i="7"/>
  <c r="Z32" i="7"/>
  <c r="Z139" i="7"/>
  <c r="X154" i="8"/>
  <c r="X154" i="7" s="1"/>
  <c r="W154" i="8"/>
  <c r="W154" i="7" s="1"/>
  <c r="V154" i="8"/>
  <c r="V154" i="7" s="1"/>
  <c r="T154" i="8"/>
  <c r="T154" i="7" s="1"/>
  <c r="S154" i="8"/>
  <c r="S154" i="7" s="1"/>
  <c r="R154" i="8"/>
  <c r="R154" i="7" s="1"/>
  <c r="Z154" i="8"/>
  <c r="Z154" i="7" s="1"/>
  <c r="Z156" i="8"/>
  <c r="Z153" i="8"/>
  <c r="Z153" i="7" s="1"/>
  <c r="Z152" i="8"/>
  <c r="Z152" i="7" s="1"/>
  <c r="Z145" i="7"/>
  <c r="Z139" i="8"/>
  <c r="Z126" i="8"/>
  <c r="Z128" i="8" s="1"/>
  <c r="Z105" i="8"/>
  <c r="Z105" i="7" s="1"/>
  <c r="Z100" i="8"/>
  <c r="Z95" i="8"/>
  <c r="Z97" i="8" s="1"/>
  <c r="Z67" i="8"/>
  <c r="Z60" i="8"/>
  <c r="Z41" i="8"/>
  <c r="Z36" i="7"/>
  <c r="Z32" i="8"/>
  <c r="Z155" i="7" l="1"/>
  <c r="Z157" i="7" s="1"/>
  <c r="AB8" i="7"/>
  <c r="AC8" i="7"/>
  <c r="Z68" i="8"/>
  <c r="Z60" i="7"/>
  <c r="Z22" i="8"/>
  <c r="Z21" i="7"/>
  <c r="Z22" i="7" s="1"/>
  <c r="Z23" i="8"/>
  <c r="Z29" i="7"/>
  <c r="Z23" i="7" s="1"/>
  <c r="Z110" i="8"/>
  <c r="Z111" i="8" s="1"/>
  <c r="Z100" i="7"/>
  <c r="Z110" i="7" s="1"/>
  <c r="Z111" i="7" s="1"/>
  <c r="Z155" i="8"/>
  <c r="Z157" i="8" s="1"/>
  <c r="I68" i="8" l="1"/>
  <c r="AA80" i="7"/>
  <c r="AC80" i="7"/>
  <c r="AA60" i="8"/>
  <c r="Z30" i="8"/>
  <c r="Z30" i="7"/>
  <c r="Z38" i="7" s="1"/>
  <c r="Z42" i="7" s="1"/>
  <c r="Z44" i="7" s="1"/>
  <c r="Z31" i="8" l="1"/>
  <c r="I66" i="8"/>
  <c r="AB60" i="8"/>
  <c r="AB60" i="7" s="1"/>
  <c r="AB80" i="7"/>
  <c r="AA60" i="7"/>
  <c r="Z38" i="8"/>
  <c r="Z31" i="7"/>
  <c r="Z47" i="7"/>
  <c r="Z45" i="7"/>
  <c r="Z66" i="7"/>
  <c r="Z70" i="7" s="1"/>
  <c r="Z78" i="7" s="1"/>
  <c r="AC38" i="8" l="1"/>
  <c r="AC42" i="8" s="1"/>
  <c r="AC44" i="8" s="1"/>
  <c r="AC31" i="8"/>
  <c r="I70" i="8"/>
  <c r="I80" i="7"/>
  <c r="I81" i="7" s="1"/>
  <c r="I82" i="7" s="1"/>
  <c r="AC60" i="8"/>
  <c r="AC60" i="7" s="1"/>
  <c r="I60" i="7"/>
  <c r="Z42" i="8"/>
  <c r="Z79" i="7"/>
  <c r="Z71" i="7"/>
  <c r="I71" i="8" l="1"/>
  <c r="I78" i="8"/>
  <c r="I81" i="8" s="1"/>
  <c r="I82" i="8" s="1"/>
  <c r="AC47" i="8"/>
  <c r="AC66" i="8"/>
  <c r="AC70" i="8" s="1"/>
  <c r="AC78" i="8" s="1"/>
  <c r="AC45" i="8"/>
  <c r="Z44" i="8"/>
  <c r="Z17" i="8"/>
  <c r="D204" i="7"/>
  <c r="E204" i="7"/>
  <c r="F204" i="7"/>
  <c r="G204" i="7"/>
  <c r="H204" i="7"/>
  <c r="D205" i="7"/>
  <c r="E205" i="7"/>
  <c r="F205" i="7"/>
  <c r="G205" i="7"/>
  <c r="H205" i="7"/>
  <c r="D206" i="7"/>
  <c r="E206" i="7"/>
  <c r="F206" i="7"/>
  <c r="G206" i="7"/>
  <c r="H206" i="7"/>
  <c r="D207" i="7"/>
  <c r="E207" i="7"/>
  <c r="F207" i="7"/>
  <c r="G207" i="7"/>
  <c r="H207" i="7"/>
  <c r="D209" i="7"/>
  <c r="E209" i="7"/>
  <c r="F209" i="7"/>
  <c r="G209" i="7"/>
  <c r="H209" i="7"/>
  <c r="D211" i="7"/>
  <c r="E211" i="7"/>
  <c r="F211" i="7"/>
  <c r="G211" i="7"/>
  <c r="H211" i="7"/>
  <c r="H142" i="7"/>
  <c r="H143" i="7"/>
  <c r="H144" i="7"/>
  <c r="H145" i="7"/>
  <c r="D134" i="7"/>
  <c r="E134" i="7"/>
  <c r="F134" i="7"/>
  <c r="G134" i="7"/>
  <c r="H134" i="7"/>
  <c r="D131" i="7"/>
  <c r="E131" i="7"/>
  <c r="F131" i="7"/>
  <c r="G131" i="7"/>
  <c r="H131" i="7"/>
  <c r="X109" i="7"/>
  <c r="W109" i="7"/>
  <c r="V109" i="7"/>
  <c r="U109" i="7"/>
  <c r="T109" i="7"/>
  <c r="S109" i="7"/>
  <c r="R109" i="7"/>
  <c r="Q109" i="7"/>
  <c r="P109" i="7"/>
  <c r="O109" i="7"/>
  <c r="N109" i="7"/>
  <c r="H109" i="7"/>
  <c r="G109" i="7"/>
  <c r="F109" i="7"/>
  <c r="E109" i="7"/>
  <c r="D109" i="7"/>
  <c r="H93" i="7"/>
  <c r="H87" i="7"/>
  <c r="H88" i="7"/>
  <c r="H89" i="7"/>
  <c r="H90" i="7"/>
  <c r="H91" i="7"/>
  <c r="H92" i="7"/>
  <c r="H94" i="7"/>
  <c r="H99" i="7"/>
  <c r="H100" i="7"/>
  <c r="H101" i="7"/>
  <c r="H102" i="7"/>
  <c r="H104" i="7"/>
  <c r="H105" i="7"/>
  <c r="H106" i="7"/>
  <c r="H107" i="7"/>
  <c r="H108" i="7"/>
  <c r="H115" i="7"/>
  <c r="H116" i="7"/>
  <c r="H118" i="7"/>
  <c r="H119" i="7"/>
  <c r="H120" i="7"/>
  <c r="H121" i="7"/>
  <c r="H122" i="7"/>
  <c r="H124" i="7"/>
  <c r="H125" i="7"/>
  <c r="H130" i="7"/>
  <c r="H132" i="7"/>
  <c r="H133" i="7"/>
  <c r="H135" i="7"/>
  <c r="H136" i="7"/>
  <c r="H137" i="7"/>
  <c r="H138" i="7"/>
  <c r="H141" i="7"/>
  <c r="H147" i="7"/>
  <c r="H151" i="7"/>
  <c r="Y69" i="7"/>
  <c r="Y72" i="7"/>
  <c r="Y73" i="7"/>
  <c r="Y80" i="7"/>
  <c r="Y51" i="7"/>
  <c r="Y52" i="7"/>
  <c r="Y53" i="7"/>
  <c r="Y16" i="7"/>
  <c r="Y18" i="7"/>
  <c r="Y19" i="7"/>
  <c r="Y20" i="7"/>
  <c r="Y21" i="7"/>
  <c r="Y24" i="7"/>
  <c r="Y25" i="7"/>
  <c r="Y26" i="7"/>
  <c r="Y27" i="7"/>
  <c r="Y28" i="7"/>
  <c r="Y29" i="7"/>
  <c r="Y33" i="7"/>
  <c r="Y34" i="7"/>
  <c r="Y35" i="7"/>
  <c r="Y36" i="7"/>
  <c r="Y39" i="7"/>
  <c r="Y40" i="7"/>
  <c r="Y43" i="7"/>
  <c r="Y67" i="7" s="1"/>
  <c r="Y46" i="7"/>
  <c r="Y8" i="7"/>
  <c r="Y9" i="7"/>
  <c r="X72" i="8"/>
  <c r="W72" i="8"/>
  <c r="V72" i="8"/>
  <c r="H69" i="8"/>
  <c r="H51" i="8"/>
  <c r="I51" i="8" s="1"/>
  <c r="I58" i="8" s="1"/>
  <c r="H40" i="8"/>
  <c r="H41" i="8" s="1"/>
  <c r="Y41" i="8"/>
  <c r="Y68" i="8" s="1"/>
  <c r="H34" i="8"/>
  <c r="H33" i="8"/>
  <c r="H28" i="8"/>
  <c r="H27" i="8"/>
  <c r="H26" i="8"/>
  <c r="H25" i="8"/>
  <c r="H24" i="8"/>
  <c r="Y147" i="8"/>
  <c r="Y147" i="7" s="1"/>
  <c r="Y145" i="7"/>
  <c r="Y144" i="8"/>
  <c r="Y144" i="7" s="1"/>
  <c r="Y143" i="8"/>
  <c r="Y142" i="8"/>
  <c r="Y142" i="7" s="1"/>
  <c r="Y141" i="8"/>
  <c r="Y141" i="7" s="1"/>
  <c r="Y138" i="8"/>
  <c r="Y138" i="7" s="1"/>
  <c r="Y137" i="8"/>
  <c r="Y137" i="7" s="1"/>
  <c r="Y136" i="8"/>
  <c r="Y136" i="7" s="1"/>
  <c r="Y135" i="8"/>
  <c r="Y135" i="7" s="1"/>
  <c r="Y134" i="8"/>
  <c r="Y134" i="7" s="1"/>
  <c r="Y133" i="8"/>
  <c r="Y133" i="7" s="1"/>
  <c r="Y132" i="8"/>
  <c r="Y132" i="7" s="1"/>
  <c r="Y131" i="8"/>
  <c r="Y131" i="7" s="1"/>
  <c r="Y130" i="8"/>
  <c r="Y130" i="7" s="1"/>
  <c r="Y125" i="8"/>
  <c r="Y125" i="7" s="1"/>
  <c r="Y124" i="8"/>
  <c r="Y124" i="7" s="1"/>
  <c r="Y122" i="8"/>
  <c r="Y122" i="7" s="1"/>
  <c r="Y121" i="8"/>
  <c r="Y121" i="7" s="1"/>
  <c r="Y120" i="8"/>
  <c r="Y120" i="7" s="1"/>
  <c r="Y119" i="8"/>
  <c r="Y119" i="7" s="1"/>
  <c r="Y118" i="8"/>
  <c r="Y118" i="7" s="1"/>
  <c r="Y116" i="8"/>
  <c r="Y152" i="8" s="1"/>
  <c r="Y152" i="7" s="1"/>
  <c r="Y115" i="8"/>
  <c r="Y109" i="8"/>
  <c r="Y109" i="7" s="1"/>
  <c r="Y108" i="8"/>
  <c r="Y108" i="7" s="1"/>
  <c r="Y107" i="8"/>
  <c r="Y107" i="7" s="1"/>
  <c r="Y106" i="8"/>
  <c r="Y106" i="7" s="1"/>
  <c r="Y105" i="8"/>
  <c r="Y105" i="7" s="1"/>
  <c r="Y104" i="8"/>
  <c r="Y104" i="7" s="1"/>
  <c r="Y102" i="8"/>
  <c r="Y102" i="7" s="1"/>
  <c r="Y101" i="8"/>
  <c r="Y101" i="7" s="1"/>
  <c r="Y100" i="8"/>
  <c r="Y100" i="7" s="1"/>
  <c r="Y99" i="8"/>
  <c r="Y99" i="7" s="1"/>
  <c r="Y94" i="8"/>
  <c r="Y94" i="7" s="1"/>
  <c r="Y93" i="8"/>
  <c r="Y93" i="7" s="1"/>
  <c r="Y92" i="8"/>
  <c r="Y92" i="7" s="1"/>
  <c r="Y91" i="8"/>
  <c r="Y90" i="8"/>
  <c r="Y90" i="7" s="1"/>
  <c r="Y89" i="8"/>
  <c r="Y88" i="8"/>
  <c r="Y87" i="8"/>
  <c r="Y87" i="7" s="1"/>
  <c r="H156" i="8"/>
  <c r="H146" i="8"/>
  <c r="H148" i="8" s="1"/>
  <c r="H139" i="8"/>
  <c r="H126" i="8"/>
  <c r="H128" i="8" s="1"/>
  <c r="H110" i="8"/>
  <c r="H95" i="8"/>
  <c r="H97" i="8" s="1"/>
  <c r="Y10" i="8"/>
  <c r="Y10" i="7" s="1"/>
  <c r="X110" i="8"/>
  <c r="W110" i="8"/>
  <c r="V110" i="8"/>
  <c r="T110" i="8"/>
  <c r="S110" i="8"/>
  <c r="R110" i="8"/>
  <c r="I79" i="8" l="1"/>
  <c r="H126" i="7"/>
  <c r="H128" i="7" s="1"/>
  <c r="H95" i="7"/>
  <c r="H97" i="7" s="1"/>
  <c r="Y89" i="7"/>
  <c r="AC71" i="8"/>
  <c r="Z51" i="8"/>
  <c r="AA51" i="8" s="1"/>
  <c r="I51" i="7"/>
  <c r="I58" i="7" s="1"/>
  <c r="Z12" i="8"/>
  <c r="Z12" i="7" s="1"/>
  <c r="Z66" i="8"/>
  <c r="Z47" i="8"/>
  <c r="Z45" i="8"/>
  <c r="H156" i="7"/>
  <c r="H155" i="8"/>
  <c r="H157" i="8" s="1"/>
  <c r="Y153" i="8"/>
  <c r="Y153" i="7" s="1"/>
  <c r="Y156" i="8"/>
  <c r="Y91" i="7"/>
  <c r="Y154" i="8"/>
  <c r="Y154" i="7" s="1"/>
  <c r="Y126" i="8"/>
  <c r="Y128" i="8" s="1"/>
  <c r="Y143" i="7"/>
  <c r="Y146" i="7" s="1"/>
  <c r="Y148" i="7" s="1"/>
  <c r="Y11" i="7"/>
  <c r="H216" i="8"/>
  <c r="Y116" i="7"/>
  <c r="Y115" i="7"/>
  <c r="Y88" i="7"/>
  <c r="Y41" i="7"/>
  <c r="Y68" i="7" s="1"/>
  <c r="Y110" i="7"/>
  <c r="H110" i="7"/>
  <c r="Y32" i="7"/>
  <c r="Y17" i="7"/>
  <c r="Y22" i="7" s="1"/>
  <c r="H139" i="7"/>
  <c r="Y23" i="7"/>
  <c r="Y139" i="7"/>
  <c r="H146" i="7"/>
  <c r="H148" i="7" s="1"/>
  <c r="Y146" i="8"/>
  <c r="Y148" i="8" s="1"/>
  <c r="Y60" i="8"/>
  <c r="Y60" i="7" s="1"/>
  <c r="Y32" i="8"/>
  <c r="Y95" i="8"/>
  <c r="Y97" i="8" s="1"/>
  <c r="H111" i="8"/>
  <c r="Y110" i="8"/>
  <c r="Y139" i="8"/>
  <c r="Y23" i="8"/>
  <c r="Y22" i="8"/>
  <c r="Y17" i="8"/>
  <c r="H149" i="8"/>
  <c r="H20" i="8"/>
  <c r="H19" i="8"/>
  <c r="H18" i="8"/>
  <c r="H11" i="8"/>
  <c r="X145" i="7"/>
  <c r="X144" i="7"/>
  <c r="X143" i="7"/>
  <c r="X142" i="7"/>
  <c r="X139" i="8"/>
  <c r="X52" i="8"/>
  <c r="X29" i="8"/>
  <c r="H201" i="8"/>
  <c r="O130" i="7"/>
  <c r="P130" i="7"/>
  <c r="R130" i="7"/>
  <c r="S130" i="7"/>
  <c r="T130" i="7"/>
  <c r="V130" i="7"/>
  <c r="W130" i="7"/>
  <c r="X130" i="7"/>
  <c r="O131" i="7"/>
  <c r="P131" i="7"/>
  <c r="Q131" i="7"/>
  <c r="R131" i="7"/>
  <c r="S131" i="7"/>
  <c r="T131" i="7"/>
  <c r="U131" i="7"/>
  <c r="V131" i="7"/>
  <c r="W131" i="7"/>
  <c r="X131" i="7"/>
  <c r="O132" i="7"/>
  <c r="P132" i="7"/>
  <c r="R132" i="7"/>
  <c r="S132" i="7"/>
  <c r="T132" i="7"/>
  <c r="V132" i="7"/>
  <c r="W132" i="7"/>
  <c r="X132" i="7"/>
  <c r="O133" i="7"/>
  <c r="P133" i="7"/>
  <c r="R133" i="7"/>
  <c r="S133" i="7"/>
  <c r="T133" i="7"/>
  <c r="V133" i="7"/>
  <c r="W133" i="7"/>
  <c r="X133" i="7"/>
  <c r="O134" i="7"/>
  <c r="P134" i="7"/>
  <c r="Q134" i="7"/>
  <c r="R134" i="7"/>
  <c r="S134" i="7"/>
  <c r="T134" i="7"/>
  <c r="U134" i="7"/>
  <c r="V134" i="7"/>
  <c r="W134" i="7"/>
  <c r="X134" i="7"/>
  <c r="O135" i="7"/>
  <c r="P135" i="7"/>
  <c r="R135" i="7"/>
  <c r="S135" i="7"/>
  <c r="T135" i="7"/>
  <c r="V135" i="7"/>
  <c r="W135" i="7"/>
  <c r="X135" i="7"/>
  <c r="O136" i="7"/>
  <c r="P136" i="7"/>
  <c r="R136" i="7"/>
  <c r="S136" i="7"/>
  <c r="T136" i="7"/>
  <c r="V136" i="7"/>
  <c r="W136" i="7"/>
  <c r="X136" i="7"/>
  <c r="O137" i="7"/>
  <c r="P137" i="7"/>
  <c r="R137" i="7"/>
  <c r="S137" i="7"/>
  <c r="T137" i="7"/>
  <c r="V137" i="7"/>
  <c r="W137" i="7"/>
  <c r="X137" i="7"/>
  <c r="O138" i="7"/>
  <c r="P138" i="7"/>
  <c r="R138" i="7"/>
  <c r="S138" i="7"/>
  <c r="T138" i="7"/>
  <c r="V138" i="7"/>
  <c r="W138" i="7"/>
  <c r="X138" i="7"/>
  <c r="N131" i="7"/>
  <c r="N132" i="7"/>
  <c r="N133" i="7"/>
  <c r="N134" i="7"/>
  <c r="N135" i="7"/>
  <c r="N136" i="7"/>
  <c r="N137" i="7"/>
  <c r="N138" i="7"/>
  <c r="O141" i="7"/>
  <c r="P141" i="7"/>
  <c r="R141" i="7"/>
  <c r="S141" i="7"/>
  <c r="T141" i="7"/>
  <c r="V141" i="7"/>
  <c r="W141" i="7"/>
  <c r="X141" i="7"/>
  <c r="O142" i="7"/>
  <c r="P142" i="7"/>
  <c r="R142" i="7"/>
  <c r="S142" i="7"/>
  <c r="T142" i="7"/>
  <c r="V142" i="7"/>
  <c r="W142" i="7"/>
  <c r="O143" i="7"/>
  <c r="P143" i="7"/>
  <c r="R143" i="7"/>
  <c r="S143" i="7"/>
  <c r="T143" i="7"/>
  <c r="V143" i="7"/>
  <c r="W143" i="7"/>
  <c r="O144" i="7"/>
  <c r="P144" i="7"/>
  <c r="R144" i="7"/>
  <c r="S144" i="7"/>
  <c r="T144" i="7"/>
  <c r="V144" i="7"/>
  <c r="W144" i="7"/>
  <c r="O145" i="7"/>
  <c r="P145" i="7"/>
  <c r="R145" i="7"/>
  <c r="S145" i="7"/>
  <c r="T145" i="7"/>
  <c r="W145" i="7"/>
  <c r="N145" i="7"/>
  <c r="N142" i="7"/>
  <c r="N143" i="7"/>
  <c r="N144" i="7"/>
  <c r="Y155" i="7" l="1"/>
  <c r="Y95" i="7"/>
  <c r="Y97" i="7" s="1"/>
  <c r="Y111" i="7" s="1"/>
  <c r="Y126" i="7"/>
  <c r="Y128" i="7" s="1"/>
  <c r="Y149" i="7" s="1"/>
  <c r="I59" i="7"/>
  <c r="I61" i="7"/>
  <c r="I62" i="7" s="1"/>
  <c r="I59" i="8"/>
  <c r="I61" i="8"/>
  <c r="AB51" i="8"/>
  <c r="AA51" i="7"/>
  <c r="AA58" i="7" s="1"/>
  <c r="AA59" i="7" s="1"/>
  <c r="AA58" i="8"/>
  <c r="AA59" i="8" s="1"/>
  <c r="H150" i="8"/>
  <c r="Z70" i="8"/>
  <c r="Z78" i="8" s="1"/>
  <c r="H157" i="7"/>
  <c r="Y155" i="8"/>
  <c r="Y157" i="8" s="1"/>
  <c r="Z146" i="8"/>
  <c r="Z148" i="8" s="1"/>
  <c r="Z149" i="8" s="1"/>
  <c r="Z143" i="7"/>
  <c r="Z146" i="7" s="1"/>
  <c r="Z148" i="7" s="1"/>
  <c r="Z149" i="7" s="1"/>
  <c r="Y12" i="8"/>
  <c r="Y12" i="7" s="1"/>
  <c r="Y156" i="7"/>
  <c r="Y111" i="8"/>
  <c r="H111" i="7"/>
  <c r="Y149" i="8"/>
  <c r="H149" i="7"/>
  <c r="Y30" i="7"/>
  <c r="Y30" i="8"/>
  <c r="Y31" i="8" s="1"/>
  <c r="X36" i="8"/>
  <c r="X32" i="8"/>
  <c r="I62" i="8" l="1"/>
  <c r="AC51" i="8"/>
  <c r="AC58" i="8" s="1"/>
  <c r="AB51" i="7"/>
  <c r="AB58" i="7" s="1"/>
  <c r="AB59" i="7" s="1"/>
  <c r="AB58" i="8"/>
  <c r="AB59" i="8" s="1"/>
  <c r="Z71" i="8"/>
  <c r="Y157" i="7"/>
  <c r="H150" i="7"/>
  <c r="Y38" i="7"/>
  <c r="Y42" i="7" s="1"/>
  <c r="Y44" i="7" s="1"/>
  <c r="Y31" i="7"/>
  <c r="Y38" i="8"/>
  <c r="Y42" i="8" s="1"/>
  <c r="Y44" i="8" s="1"/>
  <c r="X60" i="8"/>
  <c r="AC51" i="7" l="1"/>
  <c r="AC58" i="7" s="1"/>
  <c r="AC59" i="7" s="1"/>
  <c r="Z79" i="8"/>
  <c r="AC79" i="8"/>
  <c r="Y66" i="7"/>
  <c r="Y70" i="7" s="1"/>
  <c r="Y58" i="7"/>
  <c r="Y59" i="7" s="1"/>
  <c r="Y45" i="7"/>
  <c r="Y47" i="7"/>
  <c r="Y66" i="8"/>
  <c r="Y70" i="8" s="1"/>
  <c r="Y58" i="8"/>
  <c r="Y59" i="8" s="1"/>
  <c r="Y45" i="8"/>
  <c r="X11" i="8"/>
  <c r="AD51" i="7" l="1"/>
  <c r="AD58" i="8"/>
  <c r="AD59" i="8" s="1"/>
  <c r="Y71" i="7"/>
  <c r="Y78" i="7"/>
  <c r="Y79" i="7" s="1"/>
  <c r="Y78" i="8"/>
  <c r="Y79" i="8" s="1"/>
  <c r="Y71" i="8"/>
  <c r="X8" i="7"/>
  <c r="X9" i="7"/>
  <c r="X10" i="7"/>
  <c r="H8" i="7"/>
  <c r="H9" i="7"/>
  <c r="H10" i="7"/>
  <c r="X72" i="7"/>
  <c r="X80" i="7"/>
  <c r="X51" i="7"/>
  <c r="X52" i="7"/>
  <c r="X53" i="7"/>
  <c r="X60" i="7"/>
  <c r="H203" i="7"/>
  <c r="H194" i="7"/>
  <c r="H195" i="7"/>
  <c r="H193" i="7"/>
  <c r="H190" i="7"/>
  <c r="H189" i="7"/>
  <c r="H187" i="7"/>
  <c r="H179" i="7"/>
  <c r="H180" i="7"/>
  <c r="H181" i="7"/>
  <c r="H182" i="7"/>
  <c r="H183" i="7"/>
  <c r="H184" i="7"/>
  <c r="H185" i="7"/>
  <c r="H178" i="7"/>
  <c r="H164" i="7"/>
  <c r="H165" i="7"/>
  <c r="H166" i="7"/>
  <c r="H167" i="7"/>
  <c r="H168" i="7"/>
  <c r="H169" i="7"/>
  <c r="H170" i="7"/>
  <c r="H171" i="7"/>
  <c r="H172" i="7"/>
  <c r="H175" i="7"/>
  <c r="H163" i="7"/>
  <c r="H51" i="7"/>
  <c r="X147" i="7"/>
  <c r="H80" i="7"/>
  <c r="X73" i="8"/>
  <c r="H73" i="8" s="1"/>
  <c r="H73" i="7" s="1"/>
  <c r="H46" i="7"/>
  <c r="H21" i="7"/>
  <c r="H43" i="7"/>
  <c r="H67" i="7" s="1"/>
  <c r="H40" i="7"/>
  <c r="H39" i="7"/>
  <c r="X36" i="7"/>
  <c r="H35" i="7"/>
  <c r="X34" i="7"/>
  <c r="H33" i="7"/>
  <c r="X29" i="7"/>
  <c r="H28" i="7"/>
  <c r="H27" i="7"/>
  <c r="H26" i="7"/>
  <c r="H25" i="7"/>
  <c r="H24" i="7"/>
  <c r="H18" i="7"/>
  <c r="H19" i="7"/>
  <c r="H20" i="7"/>
  <c r="AD58" i="7" l="1"/>
  <c r="AD59" i="7" s="1"/>
  <c r="X11" i="7"/>
  <c r="X73" i="7"/>
  <c r="X153" i="8"/>
  <c r="X153" i="7" s="1"/>
  <c r="X124" i="7"/>
  <c r="X152" i="8"/>
  <c r="X152" i="7" s="1"/>
  <c r="X120" i="7"/>
  <c r="X121" i="7"/>
  <c r="X118" i="7"/>
  <c r="X115" i="7"/>
  <c r="X122" i="7"/>
  <c r="X119" i="7"/>
  <c r="X125" i="7"/>
  <c r="X91" i="7"/>
  <c r="X99" i="7"/>
  <c r="X100" i="7"/>
  <c r="X94" i="7"/>
  <c r="X90" i="7"/>
  <c r="X108" i="7"/>
  <c r="X104" i="7"/>
  <c r="X93" i="7"/>
  <c r="X89" i="7"/>
  <c r="X107" i="7"/>
  <c r="X102" i="7"/>
  <c r="X87" i="7"/>
  <c r="X105" i="7"/>
  <c r="X92" i="7"/>
  <c r="X88" i="7"/>
  <c r="X106" i="7"/>
  <c r="X101" i="7"/>
  <c r="X40" i="7"/>
  <c r="X33" i="7"/>
  <c r="X27" i="7"/>
  <c r="X21" i="7"/>
  <c r="X20" i="7"/>
  <c r="H41" i="7"/>
  <c r="H68" i="7" s="1"/>
  <c r="X46" i="7"/>
  <c r="X19" i="7"/>
  <c r="X116" i="7"/>
  <c r="X43" i="7"/>
  <c r="X67" i="7" s="1"/>
  <c r="X28" i="7"/>
  <c r="X18" i="7"/>
  <c r="X39" i="7"/>
  <c r="X26" i="7"/>
  <c r="X25" i="7"/>
  <c r="X35" i="7"/>
  <c r="X24" i="7"/>
  <c r="H11" i="7"/>
  <c r="H201" i="7"/>
  <c r="H212" i="7"/>
  <c r="X146" i="8"/>
  <c r="X69" i="7"/>
  <c r="H216" i="7"/>
  <c r="I215" i="7" s="1"/>
  <c r="I217" i="7" s="1"/>
  <c r="H17" i="7"/>
  <c r="H22" i="7" s="1"/>
  <c r="X156" i="8"/>
  <c r="X67" i="8"/>
  <c r="X41" i="8"/>
  <c r="X68" i="8" s="1"/>
  <c r="X95" i="8"/>
  <c r="X97" i="8" s="1"/>
  <c r="X126" i="8"/>
  <c r="X128" i="8" s="1"/>
  <c r="X22" i="8"/>
  <c r="X17" i="8"/>
  <c r="X23" i="8"/>
  <c r="E141" i="7"/>
  <c r="F141" i="7"/>
  <c r="G141" i="7"/>
  <c r="E142" i="7"/>
  <c r="F142" i="7"/>
  <c r="G142" i="7"/>
  <c r="E143" i="7"/>
  <c r="F143" i="7"/>
  <c r="G143" i="7"/>
  <c r="E144" i="7"/>
  <c r="F144" i="7"/>
  <c r="G144" i="7"/>
  <c r="E145" i="7"/>
  <c r="F145" i="7"/>
  <c r="G145" i="7"/>
  <c r="D142" i="7"/>
  <c r="D143" i="7"/>
  <c r="D144" i="7"/>
  <c r="D145" i="7"/>
  <c r="X155" i="7" l="1"/>
  <c r="X126" i="7"/>
  <c r="X128" i="7" s="1"/>
  <c r="X95" i="7"/>
  <c r="X97" i="7" s="1"/>
  <c r="X12" i="8"/>
  <c r="X12" i="7" s="1"/>
  <c r="X155" i="8"/>
  <c r="X157" i="8" s="1"/>
  <c r="X110" i="7"/>
  <c r="V146" i="8"/>
  <c r="V145" i="7"/>
  <c r="X146" i="7"/>
  <c r="X148" i="7" s="1"/>
  <c r="X148" i="8"/>
  <c r="X149" i="8" s="1"/>
  <c r="X41" i="7"/>
  <c r="X68" i="7" s="1"/>
  <c r="X139" i="7"/>
  <c r="X156" i="7"/>
  <c r="X23" i="7"/>
  <c r="X32" i="7"/>
  <c r="X17" i="7"/>
  <c r="X22" i="7" s="1"/>
  <c r="H32" i="8"/>
  <c r="H34" i="7"/>
  <c r="H32" i="7" s="1"/>
  <c r="H69" i="7"/>
  <c r="X111" i="8"/>
  <c r="X30" i="8"/>
  <c r="X38" i="8" s="1"/>
  <c r="X42" i="8" s="1"/>
  <c r="X44" i="8" s="1"/>
  <c r="X149" i="7" l="1"/>
  <c r="X66" i="8"/>
  <c r="X70" i="8" s="1"/>
  <c r="X71" i="8" s="1"/>
  <c r="X47" i="8"/>
  <c r="X30" i="7"/>
  <c r="X31" i="7" s="1"/>
  <c r="X111" i="7"/>
  <c r="X157" i="7"/>
  <c r="X31" i="8"/>
  <c r="X58" i="8"/>
  <c r="X59" i="8" s="1"/>
  <c r="X45" i="8"/>
  <c r="W51" i="7"/>
  <c r="V51" i="7"/>
  <c r="U51" i="7"/>
  <c r="T51" i="7"/>
  <c r="S51" i="7"/>
  <c r="R51" i="7"/>
  <c r="Q51" i="7"/>
  <c r="P51" i="7"/>
  <c r="O51" i="7"/>
  <c r="N51" i="7"/>
  <c r="G51" i="7"/>
  <c r="F51" i="7"/>
  <c r="E51" i="7"/>
  <c r="D51" i="7"/>
  <c r="X78" i="8" l="1"/>
  <c r="X79" i="8" s="1"/>
  <c r="X38" i="7"/>
  <c r="X42" i="7" s="1"/>
  <c r="X44" i="7" s="1"/>
  <c r="X45" i="7" s="1"/>
  <c r="G47" i="7"/>
  <c r="F47" i="7"/>
  <c r="E47" i="7"/>
  <c r="D47" i="7"/>
  <c r="G46" i="7"/>
  <c r="G43" i="7"/>
  <c r="F43" i="7"/>
  <c r="E43" i="7"/>
  <c r="D43" i="7"/>
  <c r="W50" i="7"/>
  <c r="V50" i="7"/>
  <c r="U50" i="7"/>
  <c r="T50" i="7"/>
  <c r="S50" i="7"/>
  <c r="R50" i="7"/>
  <c r="Q50" i="7"/>
  <c r="P50" i="7"/>
  <c r="O50" i="7"/>
  <c r="N50" i="7"/>
  <c r="G50" i="7"/>
  <c r="F50" i="7"/>
  <c r="E50" i="7"/>
  <c r="D50" i="7"/>
  <c r="W151" i="7"/>
  <c r="W147" i="7"/>
  <c r="W125" i="7"/>
  <c r="W124" i="7"/>
  <c r="W122" i="7"/>
  <c r="W121" i="7"/>
  <c r="W120" i="7"/>
  <c r="W119" i="7"/>
  <c r="W118" i="7"/>
  <c r="W116" i="7"/>
  <c r="W115" i="7"/>
  <c r="W108" i="7"/>
  <c r="W107" i="7"/>
  <c r="W106" i="7"/>
  <c r="W105" i="7"/>
  <c r="W104" i="7"/>
  <c r="W102" i="7"/>
  <c r="W101" i="7"/>
  <c r="W100" i="7"/>
  <c r="W99" i="7"/>
  <c r="W94" i="7"/>
  <c r="W93" i="7"/>
  <c r="W92" i="7"/>
  <c r="W91" i="7"/>
  <c r="W90" i="7"/>
  <c r="W89" i="7"/>
  <c r="W88" i="7"/>
  <c r="W87" i="7"/>
  <c r="W73" i="7"/>
  <c r="W72" i="7"/>
  <c r="W80" i="7"/>
  <c r="W69" i="7"/>
  <c r="W43" i="7"/>
  <c r="W67" i="7" s="1"/>
  <c r="W40" i="7"/>
  <c r="W39" i="7"/>
  <c r="W36" i="7"/>
  <c r="W35" i="7"/>
  <c r="W34" i="7"/>
  <c r="W33" i="7"/>
  <c r="W29" i="7"/>
  <c r="W28" i="7"/>
  <c r="W27" i="7"/>
  <c r="W26" i="7"/>
  <c r="W25" i="7"/>
  <c r="W24" i="7"/>
  <c r="W21" i="7"/>
  <c r="W20" i="7"/>
  <c r="W19" i="7"/>
  <c r="W18" i="7"/>
  <c r="W16" i="7"/>
  <c r="W65" i="7" s="1"/>
  <c r="W10" i="7"/>
  <c r="W9" i="7"/>
  <c r="W8" i="7"/>
  <c r="W126" i="7" l="1"/>
  <c r="W128" i="7" s="1"/>
  <c r="W95" i="7"/>
  <c r="W97" i="7" s="1"/>
  <c r="W110" i="7"/>
  <c r="X47" i="7"/>
  <c r="X58" i="7"/>
  <c r="X59" i="7" s="1"/>
  <c r="X66" i="7"/>
  <c r="X70" i="7" s="1"/>
  <c r="X78" i="7" s="1"/>
  <c r="X79" i="7" s="1"/>
  <c r="W23" i="7"/>
  <c r="W17" i="7"/>
  <c r="W22" i="7" s="1"/>
  <c r="W32" i="7"/>
  <c r="W146" i="7"/>
  <c r="W11" i="7"/>
  <c r="W139" i="7"/>
  <c r="W41" i="7"/>
  <c r="W68" i="7" s="1"/>
  <c r="W156" i="7"/>
  <c r="W156" i="8"/>
  <c r="W153" i="8"/>
  <c r="W153" i="7" s="1"/>
  <c r="W139" i="8"/>
  <c r="W152" i="8"/>
  <c r="W152" i="7" s="1"/>
  <c r="W60" i="8"/>
  <c r="W60" i="7" s="1"/>
  <c r="V60" i="8"/>
  <c r="W53" i="8"/>
  <c r="W53" i="7" s="1"/>
  <c r="W52" i="8"/>
  <c r="W52" i="7" s="1"/>
  <c r="W67" i="8"/>
  <c r="O50" i="8"/>
  <c r="W155" i="7" l="1"/>
  <c r="H60" i="8"/>
  <c r="H60" i="7" s="1"/>
  <c r="W157" i="7"/>
  <c r="W155" i="8"/>
  <c r="W157" i="8" s="1"/>
  <c r="X71" i="7"/>
  <c r="W148" i="7"/>
  <c r="W149" i="7" s="1"/>
  <c r="H67" i="8"/>
  <c r="W30" i="7"/>
  <c r="W38" i="7" s="1"/>
  <c r="W42" i="7" s="1"/>
  <c r="W44" i="7" s="1"/>
  <c r="W47" i="7" s="1"/>
  <c r="W111" i="7"/>
  <c r="H17" i="8"/>
  <c r="H68" i="8"/>
  <c r="H12" i="8" l="1"/>
  <c r="H12" i="7" s="1"/>
  <c r="H22" i="8"/>
  <c r="W45" i="7"/>
  <c r="W58" i="7"/>
  <c r="W59" i="7" s="1"/>
  <c r="W31" i="7"/>
  <c r="W66" i="7"/>
  <c r="W41" i="8"/>
  <c r="W68" i="8" s="1"/>
  <c r="W32" i="8"/>
  <c r="W70" i="7" l="1"/>
  <c r="W78" i="7" s="1"/>
  <c r="W11" i="8"/>
  <c r="H212" i="8"/>
  <c r="W146" i="8"/>
  <c r="W126" i="8"/>
  <c r="W128" i="8" s="1"/>
  <c r="W95" i="8"/>
  <c r="W97" i="8" s="1"/>
  <c r="W23" i="8"/>
  <c r="W17" i="8"/>
  <c r="V93" i="7"/>
  <c r="U8" i="8"/>
  <c r="V156" i="8"/>
  <c r="V153" i="8"/>
  <c r="V153" i="7" s="1"/>
  <c r="V152" i="8"/>
  <c r="V152" i="7" s="1"/>
  <c r="V53" i="8"/>
  <c r="V67" i="8"/>
  <c r="V36" i="8"/>
  <c r="H36" i="8" s="1"/>
  <c r="V29" i="8"/>
  <c r="V155" i="7" l="1"/>
  <c r="V155" i="8"/>
  <c r="V157" i="8" s="1"/>
  <c r="W22" i="8"/>
  <c r="W30" i="8" s="1"/>
  <c r="W31" i="8" s="1"/>
  <c r="W12" i="8"/>
  <c r="W12" i="7" s="1"/>
  <c r="H29" i="8"/>
  <c r="H29" i="7" s="1"/>
  <c r="H23" i="7" s="1"/>
  <c r="H30" i="7" s="1"/>
  <c r="H31" i="7" s="1"/>
  <c r="H53" i="8"/>
  <c r="H53" i="7" s="1"/>
  <c r="H36" i="7"/>
  <c r="W79" i="7"/>
  <c r="W71" i="7"/>
  <c r="W148" i="8"/>
  <c r="W149" i="8" s="1"/>
  <c r="W111" i="8"/>
  <c r="G216" i="8"/>
  <c r="H215" i="8" s="1"/>
  <c r="Q93" i="8"/>
  <c r="H23" i="8" l="1"/>
  <c r="H30" i="8" s="1"/>
  <c r="H38" i="8" s="1"/>
  <c r="H42" i="8" s="1"/>
  <c r="H44" i="8" s="1"/>
  <c r="H38" i="7"/>
  <c r="H42" i="7" s="1"/>
  <c r="H44" i="7" s="1"/>
  <c r="H45" i="7" s="1"/>
  <c r="H217" i="8"/>
  <c r="W38" i="8"/>
  <c r="V73" i="7"/>
  <c r="T73" i="7"/>
  <c r="S73" i="7"/>
  <c r="R73" i="7"/>
  <c r="Q73" i="7"/>
  <c r="P73" i="7"/>
  <c r="O73" i="7"/>
  <c r="N73" i="7"/>
  <c r="F73" i="7"/>
  <c r="E73" i="7"/>
  <c r="D73" i="7"/>
  <c r="T72" i="7"/>
  <c r="S72" i="7"/>
  <c r="R72" i="7"/>
  <c r="Q72" i="7"/>
  <c r="P72" i="7"/>
  <c r="O72" i="7"/>
  <c r="N72" i="7"/>
  <c r="G72" i="7"/>
  <c r="F72" i="7"/>
  <c r="E72" i="7"/>
  <c r="D72" i="7"/>
  <c r="Q52" i="7"/>
  <c r="P52" i="7"/>
  <c r="O52" i="7"/>
  <c r="N52" i="7"/>
  <c r="H161" i="8" l="1"/>
  <c r="H176" i="8" s="1"/>
  <c r="H45" i="8"/>
  <c r="H66" i="7"/>
  <c r="H70" i="7" s="1"/>
  <c r="H31" i="8"/>
  <c r="W42" i="8"/>
  <c r="V151" i="7"/>
  <c r="V147" i="7"/>
  <c r="V125" i="7"/>
  <c r="V124" i="7"/>
  <c r="V122" i="7"/>
  <c r="V121" i="7"/>
  <c r="V120" i="7"/>
  <c r="V119" i="7"/>
  <c r="V118" i="7"/>
  <c r="V116" i="7"/>
  <c r="V115" i="7"/>
  <c r="V108" i="7"/>
  <c r="V107" i="7"/>
  <c r="V106" i="7"/>
  <c r="V105" i="7"/>
  <c r="V104" i="7"/>
  <c r="V102" i="7"/>
  <c r="V101" i="7"/>
  <c r="V100" i="7"/>
  <c r="V99" i="7"/>
  <c r="V94" i="7"/>
  <c r="V92" i="7"/>
  <c r="V91" i="7"/>
  <c r="V90" i="7"/>
  <c r="V89" i="7"/>
  <c r="V88" i="7"/>
  <c r="V87" i="7"/>
  <c r="V69" i="7"/>
  <c r="V43" i="7"/>
  <c r="V40" i="7"/>
  <c r="V39" i="7"/>
  <c r="V36" i="7"/>
  <c r="V35" i="7"/>
  <c r="V34" i="7"/>
  <c r="V33" i="7"/>
  <c r="V29" i="7"/>
  <c r="V28" i="7"/>
  <c r="V27" i="7"/>
  <c r="V26" i="7"/>
  <c r="V25" i="7"/>
  <c r="V24" i="7"/>
  <c r="V21" i="7"/>
  <c r="V20" i="7"/>
  <c r="V19" i="7"/>
  <c r="V18" i="7"/>
  <c r="V16" i="7"/>
  <c r="V10" i="7"/>
  <c r="V9" i="7"/>
  <c r="H71" i="7" l="1"/>
  <c r="V126" i="7"/>
  <c r="V128" i="7" s="1"/>
  <c r="V95" i="7"/>
  <c r="V97" i="7" s="1"/>
  <c r="V110" i="7"/>
  <c r="H66" i="8"/>
  <c r="H70" i="8" s="1"/>
  <c r="H161" i="7"/>
  <c r="W44" i="8"/>
  <c r="V67" i="7"/>
  <c r="V65" i="7"/>
  <c r="V41" i="7"/>
  <c r="V11" i="7"/>
  <c r="V17" i="7"/>
  <c r="V23" i="7"/>
  <c r="V139" i="7"/>
  <c r="V32" i="7"/>
  <c r="V146" i="7"/>
  <c r="V156" i="7"/>
  <c r="H176" i="7" l="1"/>
  <c r="H188" i="7" s="1"/>
  <c r="H191" i="7" s="1"/>
  <c r="H214" i="7" s="1"/>
  <c r="H188" i="8"/>
  <c r="H71" i="8"/>
  <c r="W47" i="8"/>
  <c r="H47" i="8" s="1"/>
  <c r="W58" i="8"/>
  <c r="W59" i="8" s="1"/>
  <c r="W66" i="8"/>
  <c r="W70" i="8" s="1"/>
  <c r="W45" i="8"/>
  <c r="V22" i="7"/>
  <c r="V68" i="7"/>
  <c r="V148" i="7"/>
  <c r="V149" i="7" s="1"/>
  <c r="V111" i="7"/>
  <c r="Q143" i="8"/>
  <c r="Q143" i="7" s="1"/>
  <c r="U143" i="8"/>
  <c r="U143" i="7" s="1"/>
  <c r="H47" i="7" l="1"/>
  <c r="H191" i="8"/>
  <c r="H214" i="8" s="1"/>
  <c r="W71" i="8"/>
  <c r="W78" i="8"/>
  <c r="W79" i="8" s="1"/>
  <c r="V30" i="7"/>
  <c r="V139" i="8"/>
  <c r="U73" i="8"/>
  <c r="V11" i="8"/>
  <c r="V126" i="8"/>
  <c r="V128" i="8" s="1"/>
  <c r="V53" i="7"/>
  <c r="T53" i="8"/>
  <c r="T53" i="7" s="1"/>
  <c r="S53" i="8"/>
  <c r="S53" i="7" s="1"/>
  <c r="R53" i="8"/>
  <c r="R53" i="7" s="1"/>
  <c r="T52" i="8"/>
  <c r="T52" i="7" s="1"/>
  <c r="S52" i="8"/>
  <c r="S52" i="7" s="1"/>
  <c r="R52" i="8"/>
  <c r="R52" i="7" s="1"/>
  <c r="F53" i="8"/>
  <c r="F53" i="7" s="1"/>
  <c r="E53" i="8"/>
  <c r="E53" i="7" s="1"/>
  <c r="D53" i="8"/>
  <c r="D53" i="7" s="1"/>
  <c r="G52" i="8"/>
  <c r="G52" i="7" s="1"/>
  <c r="F52" i="8"/>
  <c r="F52" i="7" s="1"/>
  <c r="E52" i="8"/>
  <c r="E52" i="7" s="1"/>
  <c r="D52" i="8"/>
  <c r="D52" i="7" s="1"/>
  <c r="V38" i="7" l="1"/>
  <c r="V42" i="7" s="1"/>
  <c r="V31" i="7"/>
  <c r="V80" i="7"/>
  <c r="U73" i="7"/>
  <c r="G73" i="8"/>
  <c r="V95" i="8"/>
  <c r="V97" i="8" s="1"/>
  <c r="U53" i="8"/>
  <c r="U53" i="7" s="1"/>
  <c r="V157" i="7" l="1"/>
  <c r="V44" i="7"/>
  <c r="V111" i="8"/>
  <c r="G73" i="7"/>
  <c r="G53" i="8"/>
  <c r="G53" i="7" s="1"/>
  <c r="V148" i="8"/>
  <c r="V60" i="7"/>
  <c r="V41" i="8"/>
  <c r="V68" i="8" s="1"/>
  <c r="V32" i="8"/>
  <c r="V23" i="8"/>
  <c r="V17" i="8"/>
  <c r="V12" i="8" s="1"/>
  <c r="V22" i="8" l="1"/>
  <c r="V12" i="7"/>
  <c r="V66" i="7"/>
  <c r="V45" i="7"/>
  <c r="V149" i="8"/>
  <c r="D69" i="8"/>
  <c r="D67" i="8"/>
  <c r="S60" i="8"/>
  <c r="V70" i="7" l="1"/>
  <c r="V30" i="8"/>
  <c r="V31" i="8" s="1"/>
  <c r="D201" i="8"/>
  <c r="E156" i="8"/>
  <c r="E153" i="8"/>
  <c r="E153" i="7" s="1"/>
  <c r="E152" i="8"/>
  <c r="E152" i="7" s="1"/>
  <c r="D156" i="8"/>
  <c r="D153" i="8"/>
  <c r="D152" i="8"/>
  <c r="G216" i="7"/>
  <c r="H215" i="7" s="1"/>
  <c r="H217" i="7" s="1"/>
  <c r="G203" i="7"/>
  <c r="G195" i="7"/>
  <c r="G194" i="7"/>
  <c r="G193" i="7"/>
  <c r="G190" i="7"/>
  <c r="G189" i="7"/>
  <c r="G187" i="7"/>
  <c r="G185" i="7"/>
  <c r="G184" i="7"/>
  <c r="G183" i="7"/>
  <c r="G182" i="7"/>
  <c r="G181" i="7"/>
  <c r="G180" i="7"/>
  <c r="G179" i="7"/>
  <c r="G178" i="7"/>
  <c r="G169" i="7"/>
  <c r="F169" i="7"/>
  <c r="E169" i="7"/>
  <c r="D169" i="7"/>
  <c r="G175" i="7"/>
  <c r="G172" i="7"/>
  <c r="G171" i="7"/>
  <c r="G170" i="7"/>
  <c r="G168" i="7"/>
  <c r="G167" i="7"/>
  <c r="G166" i="7"/>
  <c r="G165" i="7"/>
  <c r="G164" i="7"/>
  <c r="G163" i="7"/>
  <c r="G159" i="7"/>
  <c r="F159" i="7"/>
  <c r="E159" i="7"/>
  <c r="D159" i="7"/>
  <c r="U151" i="7"/>
  <c r="T151" i="7"/>
  <c r="S151" i="7"/>
  <c r="R151" i="7"/>
  <c r="Q151" i="7"/>
  <c r="P151" i="7"/>
  <c r="O151" i="7"/>
  <c r="N151" i="7"/>
  <c r="G151" i="7"/>
  <c r="F151" i="7"/>
  <c r="E151" i="7"/>
  <c r="D151" i="7"/>
  <c r="T147" i="7"/>
  <c r="S147" i="7"/>
  <c r="R147" i="7"/>
  <c r="Q147" i="7"/>
  <c r="P147" i="7"/>
  <c r="O147" i="7"/>
  <c r="N147" i="7"/>
  <c r="G147" i="7"/>
  <c r="F147" i="7"/>
  <c r="E147" i="7"/>
  <c r="D147" i="7"/>
  <c r="G136" i="7"/>
  <c r="F136" i="7"/>
  <c r="E136" i="7"/>
  <c r="D136" i="7"/>
  <c r="G133" i="7"/>
  <c r="F133" i="7"/>
  <c r="E133" i="7"/>
  <c r="D133" i="7"/>
  <c r="G138" i="7"/>
  <c r="G137" i="7"/>
  <c r="G135" i="7"/>
  <c r="G132" i="7"/>
  <c r="G130" i="7"/>
  <c r="T122" i="7"/>
  <c r="S122" i="7"/>
  <c r="R122" i="7"/>
  <c r="P122" i="7"/>
  <c r="O122" i="7"/>
  <c r="N122" i="7"/>
  <c r="G122" i="7"/>
  <c r="F122" i="7"/>
  <c r="E122" i="7"/>
  <c r="D122" i="7"/>
  <c r="G125" i="7"/>
  <c r="G124" i="7"/>
  <c r="G121" i="7"/>
  <c r="G120" i="7"/>
  <c r="G119" i="7"/>
  <c r="G118" i="7"/>
  <c r="G116" i="7"/>
  <c r="G115" i="7"/>
  <c r="G108" i="7"/>
  <c r="G107" i="7"/>
  <c r="G106" i="7"/>
  <c r="G105" i="7"/>
  <c r="G104" i="7"/>
  <c r="G102" i="7"/>
  <c r="G101" i="7"/>
  <c r="G100" i="7"/>
  <c r="G99" i="7"/>
  <c r="G94" i="7"/>
  <c r="G92" i="7"/>
  <c r="G91" i="7"/>
  <c r="G90" i="7"/>
  <c r="G89" i="7"/>
  <c r="G88" i="7"/>
  <c r="G87" i="7"/>
  <c r="U80" i="7"/>
  <c r="U69" i="7"/>
  <c r="S80" i="7"/>
  <c r="R80" i="7"/>
  <c r="Q80" i="7"/>
  <c r="P80" i="7"/>
  <c r="O80" i="7"/>
  <c r="N80" i="7"/>
  <c r="F80" i="7"/>
  <c r="E80" i="7"/>
  <c r="D80" i="7"/>
  <c r="G80" i="7"/>
  <c r="R69" i="7"/>
  <c r="T69" i="7"/>
  <c r="G69" i="7"/>
  <c r="G67" i="7"/>
  <c r="U43" i="7"/>
  <c r="U67" i="7" s="1"/>
  <c r="U40" i="7"/>
  <c r="U39" i="7"/>
  <c r="U36" i="7"/>
  <c r="U35" i="7"/>
  <c r="U34" i="7"/>
  <c r="U33" i="7"/>
  <c r="U29" i="7"/>
  <c r="U28" i="7"/>
  <c r="U27" i="7"/>
  <c r="U26" i="7"/>
  <c r="U25" i="7"/>
  <c r="U24" i="7"/>
  <c r="U21" i="7"/>
  <c r="U20" i="7"/>
  <c r="U19" i="7"/>
  <c r="U18" i="7"/>
  <c r="U16" i="7"/>
  <c r="U65" i="7" s="1"/>
  <c r="T16" i="7"/>
  <c r="T65" i="7" s="1"/>
  <c r="S16" i="7"/>
  <c r="S65" i="7" s="1"/>
  <c r="R16" i="7"/>
  <c r="R65" i="7" s="1"/>
  <c r="Q16" i="7"/>
  <c r="Q65" i="7" s="1"/>
  <c r="P16" i="7"/>
  <c r="P65" i="7" s="1"/>
  <c r="O16" i="7"/>
  <c r="O65" i="7" s="1"/>
  <c r="N16" i="7"/>
  <c r="N65" i="7" s="1"/>
  <c r="F16" i="7"/>
  <c r="F65" i="7" s="1"/>
  <c r="E16" i="7"/>
  <c r="E65" i="7" s="1"/>
  <c r="D16" i="7"/>
  <c r="D65" i="7" s="1"/>
  <c r="S60" i="7"/>
  <c r="G40" i="7"/>
  <c r="G39" i="7"/>
  <c r="G36" i="7"/>
  <c r="G35" i="7"/>
  <c r="G34" i="7"/>
  <c r="G33" i="7"/>
  <c r="G28" i="7"/>
  <c r="G27" i="7"/>
  <c r="G26" i="7"/>
  <c r="G25" i="7"/>
  <c r="G24" i="7"/>
  <c r="G21" i="7"/>
  <c r="G20" i="7"/>
  <c r="G19" i="7"/>
  <c r="G18" i="7"/>
  <c r="G16" i="7"/>
  <c r="G65" i="7" s="1"/>
  <c r="U10" i="7"/>
  <c r="U9" i="7"/>
  <c r="T10" i="7"/>
  <c r="S10" i="7"/>
  <c r="R10" i="7"/>
  <c r="Q10" i="7"/>
  <c r="T9" i="7"/>
  <c r="S9" i="7"/>
  <c r="R9" i="7"/>
  <c r="Q9" i="7"/>
  <c r="T8" i="7"/>
  <c r="S8" i="7"/>
  <c r="R8" i="7"/>
  <c r="Q8" i="7"/>
  <c r="G10" i="7"/>
  <c r="G9" i="7"/>
  <c r="G8" i="7"/>
  <c r="U67" i="8"/>
  <c r="G29" i="8"/>
  <c r="G29" i="7" s="1"/>
  <c r="Q53" i="8"/>
  <c r="Q53" i="7" s="1"/>
  <c r="P53" i="8"/>
  <c r="P53" i="7" s="1"/>
  <c r="O53" i="8"/>
  <c r="O53" i="7" s="1"/>
  <c r="N53" i="8"/>
  <c r="N53" i="7" s="1"/>
  <c r="R60" i="8"/>
  <c r="R60" i="7" s="1"/>
  <c r="Q60" i="8"/>
  <c r="P60" i="8"/>
  <c r="P60" i="7" s="1"/>
  <c r="O60" i="8"/>
  <c r="O60" i="7" s="1"/>
  <c r="N60" i="8"/>
  <c r="N60" i="7" s="1"/>
  <c r="G60" i="8"/>
  <c r="G60" i="7" s="1"/>
  <c r="F60" i="8"/>
  <c r="F60" i="7" s="1"/>
  <c r="E60" i="8"/>
  <c r="E60" i="7" s="1"/>
  <c r="D60" i="8"/>
  <c r="D60" i="7" s="1"/>
  <c r="G212" i="8"/>
  <c r="G201" i="8"/>
  <c r="U138" i="8"/>
  <c r="U138" i="7" s="1"/>
  <c r="U137" i="8"/>
  <c r="U137" i="7" s="1"/>
  <c r="U136" i="8"/>
  <c r="U136" i="7" s="1"/>
  <c r="Q136" i="8"/>
  <c r="Q136" i="7" s="1"/>
  <c r="U147" i="8"/>
  <c r="U145" i="8"/>
  <c r="U145" i="7" s="1"/>
  <c r="U144" i="8"/>
  <c r="U144" i="7" s="1"/>
  <c r="U142" i="8"/>
  <c r="U142" i="7" s="1"/>
  <c r="U135" i="8"/>
  <c r="U135" i="7" s="1"/>
  <c r="Q133" i="8"/>
  <c r="Q133" i="7" s="1"/>
  <c r="U133" i="8"/>
  <c r="U133" i="7" s="1"/>
  <c r="U132" i="8"/>
  <c r="U132" i="7" s="1"/>
  <c r="U130" i="8"/>
  <c r="U130" i="7" s="1"/>
  <c r="U125" i="8"/>
  <c r="U125" i="7" s="1"/>
  <c r="U124" i="8"/>
  <c r="U124" i="7" s="1"/>
  <c r="U122" i="8"/>
  <c r="U122" i="7" s="1"/>
  <c r="Q122" i="8"/>
  <c r="Q122" i="7" s="1"/>
  <c r="U121" i="8"/>
  <c r="U121" i="7" s="1"/>
  <c r="U120" i="8"/>
  <c r="U120" i="7" s="1"/>
  <c r="U119" i="8"/>
  <c r="U119" i="7" s="1"/>
  <c r="U118" i="8"/>
  <c r="U118" i="7" s="1"/>
  <c r="U116" i="8"/>
  <c r="U115" i="8"/>
  <c r="U108" i="8"/>
  <c r="U108" i="7" s="1"/>
  <c r="U107" i="8"/>
  <c r="U107" i="7" s="1"/>
  <c r="U106" i="8"/>
  <c r="U106" i="7" s="1"/>
  <c r="U105" i="8"/>
  <c r="U105" i="7" s="1"/>
  <c r="U104" i="8"/>
  <c r="U104" i="7" s="1"/>
  <c r="U102" i="8"/>
  <c r="U102" i="7" s="1"/>
  <c r="U101" i="8"/>
  <c r="U101" i="7" s="1"/>
  <c r="U100" i="8"/>
  <c r="U100" i="7" s="1"/>
  <c r="U99" i="8"/>
  <c r="U94" i="8"/>
  <c r="U94" i="7" s="1"/>
  <c r="U92" i="8"/>
  <c r="U92" i="7" s="1"/>
  <c r="U91" i="8"/>
  <c r="U90" i="8"/>
  <c r="U90" i="7" s="1"/>
  <c r="U89" i="8"/>
  <c r="U88" i="8"/>
  <c r="U88" i="7" s="1"/>
  <c r="Q145" i="8"/>
  <c r="Q145" i="7" s="1"/>
  <c r="Q144" i="8"/>
  <c r="Q144" i="7" s="1"/>
  <c r="Q142" i="8"/>
  <c r="Q142" i="7" s="1"/>
  <c r="Q141" i="8"/>
  <c r="Q141" i="7" s="1"/>
  <c r="Q138" i="8"/>
  <c r="Q138" i="7" s="1"/>
  <c r="Q137" i="8"/>
  <c r="Q137" i="7" s="1"/>
  <c r="Q135" i="8"/>
  <c r="Q135" i="7" s="1"/>
  <c r="Q132" i="8"/>
  <c r="Q132" i="7" s="1"/>
  <c r="Q130" i="8"/>
  <c r="Q130" i="7" s="1"/>
  <c r="Q125" i="8"/>
  <c r="Q125" i="7" s="1"/>
  <c r="Q124" i="8"/>
  <c r="Q124" i="7" s="1"/>
  <c r="Q121" i="8"/>
  <c r="Q121" i="7" s="1"/>
  <c r="Q120" i="8"/>
  <c r="Q120" i="7" s="1"/>
  <c r="Q119" i="8"/>
  <c r="Q119" i="7" s="1"/>
  <c r="Q118" i="8"/>
  <c r="Q118" i="7" s="1"/>
  <c r="Q116" i="8"/>
  <c r="Q116" i="7" s="1"/>
  <c r="Q115" i="8"/>
  <c r="Q115" i="7" s="1"/>
  <c r="Q108" i="8"/>
  <c r="Q108" i="7" s="1"/>
  <c r="Q107" i="8"/>
  <c r="Q107" i="7" s="1"/>
  <c r="Q106" i="8"/>
  <c r="Q106" i="7" s="1"/>
  <c r="Q105" i="8"/>
  <c r="Q105" i="7" s="1"/>
  <c r="Q104" i="8"/>
  <c r="Q104" i="7" s="1"/>
  <c r="Q102" i="8"/>
  <c r="Q102" i="7" s="1"/>
  <c r="Q101" i="8"/>
  <c r="Q101" i="7" s="1"/>
  <c r="Q100" i="8"/>
  <c r="Q100" i="7" s="1"/>
  <c r="Q99" i="8"/>
  <c r="Q99" i="7" s="1"/>
  <c r="Q94" i="8"/>
  <c r="Q94" i="7" s="1"/>
  <c r="Q92" i="8"/>
  <c r="Q92" i="7" s="1"/>
  <c r="Q91" i="8"/>
  <c r="Q91" i="7" s="1"/>
  <c r="Q90" i="8"/>
  <c r="Q90" i="7" s="1"/>
  <c r="Q89" i="8"/>
  <c r="Q89" i="7" s="1"/>
  <c r="Q88" i="8"/>
  <c r="Q88" i="7" s="1"/>
  <c r="Q87" i="8"/>
  <c r="Q87" i="7" s="1"/>
  <c r="U11" i="8"/>
  <c r="T11" i="8"/>
  <c r="S11" i="8"/>
  <c r="R11" i="8"/>
  <c r="Q43" i="8"/>
  <c r="Q67" i="8" s="1"/>
  <c r="Q40" i="8"/>
  <c r="Q40" i="7" s="1"/>
  <c r="Q39" i="8"/>
  <c r="Q39" i="7" s="1"/>
  <c r="Q36" i="8"/>
  <c r="Q36" i="7" s="1"/>
  <c r="Q25" i="8"/>
  <c r="Q21" i="8"/>
  <c r="Q21" i="7" s="1"/>
  <c r="Q20" i="8"/>
  <c r="Q20" i="7" s="1"/>
  <c r="Q19" i="8"/>
  <c r="Q19" i="7" s="1"/>
  <c r="Q18" i="8"/>
  <c r="Q18" i="7" s="1"/>
  <c r="Q11" i="8"/>
  <c r="Q35" i="8"/>
  <c r="Q35" i="7" s="1"/>
  <c r="Q34" i="8"/>
  <c r="Q34" i="7" s="1"/>
  <c r="Q33" i="8"/>
  <c r="Q33" i="7" s="1"/>
  <c r="Q29" i="8"/>
  <c r="Q29" i="7" s="1"/>
  <c r="Q28" i="8"/>
  <c r="Q28" i="7" s="1"/>
  <c r="Q27" i="8"/>
  <c r="Q27" i="7" s="1"/>
  <c r="Q26" i="8"/>
  <c r="Q26" i="7" s="1"/>
  <c r="Q24" i="8"/>
  <c r="Q24" i="7" s="1"/>
  <c r="G67" i="8"/>
  <c r="G68" i="8"/>
  <c r="E155" i="7" l="1"/>
  <c r="Q126" i="7"/>
  <c r="Q128" i="7" s="1"/>
  <c r="G126" i="7"/>
  <c r="G128" i="7" s="1"/>
  <c r="G95" i="7"/>
  <c r="G97" i="7" s="1"/>
  <c r="U89" i="7"/>
  <c r="E155" i="8"/>
  <c r="E157" i="8" s="1"/>
  <c r="D155" i="8"/>
  <c r="U91" i="7"/>
  <c r="U154" i="8"/>
  <c r="U154" i="7" s="1"/>
  <c r="G110" i="7"/>
  <c r="Q25" i="7"/>
  <c r="Q23" i="7" s="1"/>
  <c r="Q60" i="7"/>
  <c r="V71" i="7"/>
  <c r="V38" i="8"/>
  <c r="U139" i="7"/>
  <c r="U153" i="8"/>
  <c r="U153" i="7" s="1"/>
  <c r="U139" i="8"/>
  <c r="U147" i="7"/>
  <c r="U99" i="7"/>
  <c r="U110" i="7" s="1"/>
  <c r="U110" i="8"/>
  <c r="U115" i="7"/>
  <c r="U126" i="8"/>
  <c r="U128" i="8" s="1"/>
  <c r="U8" i="7"/>
  <c r="V8" i="7"/>
  <c r="U116" i="7"/>
  <c r="U152" i="8"/>
  <c r="U152" i="7" s="1"/>
  <c r="S139" i="7"/>
  <c r="R139" i="7"/>
  <c r="Q156" i="7"/>
  <c r="T139" i="7"/>
  <c r="G212" i="7"/>
  <c r="Q43" i="7"/>
  <c r="Q67" i="7" s="1"/>
  <c r="G156" i="7"/>
  <c r="G201" i="7"/>
  <c r="G146" i="7"/>
  <c r="G148" i="7" s="1"/>
  <c r="Q139" i="7"/>
  <c r="Q146" i="7"/>
  <c r="Q148" i="7" s="1"/>
  <c r="U17" i="7"/>
  <c r="U22" i="7" s="1"/>
  <c r="Q17" i="7"/>
  <c r="Q22" i="7" s="1"/>
  <c r="G32" i="7"/>
  <c r="G41" i="7"/>
  <c r="G68" i="7" s="1"/>
  <c r="Q97" i="7"/>
  <c r="G139" i="7"/>
  <c r="G17" i="7"/>
  <c r="G22" i="7" s="1"/>
  <c r="G23" i="7"/>
  <c r="U23" i="7"/>
  <c r="Q110" i="7"/>
  <c r="Q32" i="7"/>
  <c r="Q41" i="7"/>
  <c r="Q68" i="7" s="1"/>
  <c r="U32" i="7"/>
  <c r="U41" i="7"/>
  <c r="U68" i="7" s="1"/>
  <c r="U11" i="7"/>
  <c r="R11" i="7"/>
  <c r="S11" i="7"/>
  <c r="Q11" i="7"/>
  <c r="T11" i="7"/>
  <c r="G11" i="7"/>
  <c r="G156" i="8"/>
  <c r="G146" i="8"/>
  <c r="U87" i="8"/>
  <c r="G153" i="8"/>
  <c r="G153" i="7" s="1"/>
  <c r="G155" i="7" s="1"/>
  <c r="U141" i="8"/>
  <c r="U141" i="7" s="1"/>
  <c r="G139" i="8"/>
  <c r="G126" i="8"/>
  <c r="G128" i="8" s="1"/>
  <c r="G110" i="8"/>
  <c r="Q41" i="8"/>
  <c r="Q68" i="8" s="1"/>
  <c r="U17" i="8"/>
  <c r="U32" i="8"/>
  <c r="G95" i="8"/>
  <c r="G97" i="8" s="1"/>
  <c r="U41" i="8"/>
  <c r="U68" i="8" s="1"/>
  <c r="U23" i="8"/>
  <c r="Q32" i="8"/>
  <c r="Q23" i="8"/>
  <c r="G23" i="8"/>
  <c r="Q17" i="8"/>
  <c r="Q12" i="8" s="1"/>
  <c r="G32" i="8"/>
  <c r="Q149" i="7" l="1"/>
  <c r="U155" i="7"/>
  <c r="U126" i="7"/>
  <c r="U128" i="7" s="1"/>
  <c r="U155" i="8"/>
  <c r="G155" i="8"/>
  <c r="U12" i="8"/>
  <c r="U12" i="7" s="1"/>
  <c r="V42" i="8"/>
  <c r="U87" i="7"/>
  <c r="U156" i="8"/>
  <c r="U95" i="8"/>
  <c r="U97" i="8" s="1"/>
  <c r="U22" i="8"/>
  <c r="U30" i="8" s="1"/>
  <c r="U146" i="7"/>
  <c r="U148" i="7" s="1"/>
  <c r="U146" i="8"/>
  <c r="U148" i="8" s="1"/>
  <c r="U149" i="8" s="1"/>
  <c r="Q30" i="7"/>
  <c r="Q31" i="7" s="1"/>
  <c r="G157" i="7"/>
  <c r="G149" i="7"/>
  <c r="U30" i="7"/>
  <c r="U38" i="7" s="1"/>
  <c r="U42" i="7" s="1"/>
  <c r="U44" i="7" s="1"/>
  <c r="Q111" i="7"/>
  <c r="G30" i="7"/>
  <c r="G31" i="7" s="1"/>
  <c r="G111" i="7"/>
  <c r="G148" i="8"/>
  <c r="G111" i="8"/>
  <c r="Q12" i="7"/>
  <c r="Q22" i="8"/>
  <c r="Q30" i="8" s="1"/>
  <c r="U149" i="7" l="1"/>
  <c r="U156" i="7"/>
  <c r="U95" i="7"/>
  <c r="U111" i="8"/>
  <c r="V44" i="8"/>
  <c r="U157" i="8"/>
  <c r="G150" i="7"/>
  <c r="Q150" i="7"/>
  <c r="U66" i="7"/>
  <c r="U70" i="7" s="1"/>
  <c r="Q38" i="7"/>
  <c r="Q42" i="7" s="1"/>
  <c r="Q44" i="7" s="1"/>
  <c r="Q58" i="7" s="1"/>
  <c r="U97" i="7"/>
  <c r="U111" i="7" s="1"/>
  <c r="G149" i="8"/>
  <c r="G150" i="8" s="1"/>
  <c r="U31" i="7"/>
  <c r="G38" i="7"/>
  <c r="G42" i="7" s="1"/>
  <c r="G44" i="7" s="1"/>
  <c r="G58" i="7" s="1"/>
  <c r="U45" i="7"/>
  <c r="G157" i="8"/>
  <c r="Q31" i="8"/>
  <c r="Q38" i="8"/>
  <c r="Q42" i="8" s="1"/>
  <c r="Q44" i="8" s="1"/>
  <c r="Q46" i="8" s="1"/>
  <c r="U31" i="8"/>
  <c r="U38" i="8"/>
  <c r="U42" i="8" s="1"/>
  <c r="U44" i="8" s="1"/>
  <c r="U157" i="7" l="1"/>
  <c r="V66" i="8"/>
  <c r="V70" i="8" s="1"/>
  <c r="V71" i="8" s="1"/>
  <c r="V45" i="8"/>
  <c r="G45" i="7"/>
  <c r="U71" i="7"/>
  <c r="Q66" i="7"/>
  <c r="Q46" i="7"/>
  <c r="Q59" i="7"/>
  <c r="Q45" i="7"/>
  <c r="G66" i="7"/>
  <c r="G70" i="7" s="1"/>
  <c r="U45" i="8"/>
  <c r="Q58" i="8"/>
  <c r="Q59" i="8" s="1"/>
  <c r="Q45" i="8"/>
  <c r="U66" i="8"/>
  <c r="U70" i="8" s="1"/>
  <c r="Q66" i="8"/>
  <c r="G71" i="7" l="1"/>
  <c r="G78" i="7"/>
  <c r="G61" i="7"/>
  <c r="G62" i="7" s="1"/>
  <c r="G59" i="7"/>
  <c r="U71" i="8"/>
  <c r="G17" i="8"/>
  <c r="G11" i="8"/>
  <c r="G81" i="7" l="1"/>
  <c r="G82" i="7" s="1"/>
  <c r="G79" i="7"/>
  <c r="G12" i="8"/>
  <c r="G12" i="7" s="1"/>
  <c r="G22" i="8"/>
  <c r="G30" i="8" s="1"/>
  <c r="G38" i="8" s="1"/>
  <c r="G42" i="8" s="1"/>
  <c r="P25" i="7"/>
  <c r="G31" i="8" l="1"/>
  <c r="G44" i="8"/>
  <c r="F166" i="7"/>
  <c r="E166" i="7"/>
  <c r="D166" i="7"/>
  <c r="F165" i="7"/>
  <c r="E165" i="7"/>
  <c r="D165" i="7"/>
  <c r="G58" i="8" l="1"/>
  <c r="G61" i="8" s="1"/>
  <c r="G62" i="8" s="1"/>
  <c r="G161" i="8"/>
  <c r="G45" i="8"/>
  <c r="G66" i="8"/>
  <c r="T43" i="7"/>
  <c r="T67" i="7" s="1"/>
  <c r="S43" i="7"/>
  <c r="S67" i="7" s="1"/>
  <c r="R43" i="7"/>
  <c r="R67" i="7" s="1"/>
  <c r="P43" i="7"/>
  <c r="P67" i="7" s="1"/>
  <c r="O43" i="7"/>
  <c r="N43" i="7"/>
  <c r="T125" i="7"/>
  <c r="T124" i="7"/>
  <c r="T121" i="7"/>
  <c r="T120" i="7"/>
  <c r="T119" i="7"/>
  <c r="T118" i="7"/>
  <c r="T116" i="7"/>
  <c r="T115" i="7"/>
  <c r="T108" i="7"/>
  <c r="T107" i="7"/>
  <c r="T106" i="7"/>
  <c r="T105" i="7"/>
  <c r="T104" i="7"/>
  <c r="T102" i="7"/>
  <c r="T101" i="7"/>
  <c r="T100" i="7"/>
  <c r="T99" i="7"/>
  <c r="T94" i="7"/>
  <c r="T92" i="7"/>
  <c r="T91" i="7"/>
  <c r="T90" i="7"/>
  <c r="T89" i="7"/>
  <c r="T88" i="7"/>
  <c r="T87" i="7"/>
  <c r="T40" i="7"/>
  <c r="T39" i="7"/>
  <c r="T36" i="7"/>
  <c r="T35" i="7"/>
  <c r="T34" i="7"/>
  <c r="T33" i="7"/>
  <c r="T29" i="7"/>
  <c r="T28" i="7"/>
  <c r="T27" i="7"/>
  <c r="T26" i="7"/>
  <c r="T25" i="7"/>
  <c r="T24" i="7"/>
  <c r="T21" i="7"/>
  <c r="T20" i="7"/>
  <c r="T19" i="7"/>
  <c r="T18" i="7"/>
  <c r="P125" i="7"/>
  <c r="P124" i="7"/>
  <c r="P121" i="7"/>
  <c r="P120" i="7"/>
  <c r="P119" i="7"/>
  <c r="P118" i="7"/>
  <c r="P116" i="7"/>
  <c r="P115" i="7"/>
  <c r="P108" i="7"/>
  <c r="P107" i="7"/>
  <c r="P106" i="7"/>
  <c r="P105" i="7"/>
  <c r="P104" i="7"/>
  <c r="P102" i="7"/>
  <c r="P101" i="7"/>
  <c r="P100" i="7"/>
  <c r="P99" i="7"/>
  <c r="P94" i="7"/>
  <c r="P92" i="7"/>
  <c r="P91" i="7"/>
  <c r="P90" i="7"/>
  <c r="P89" i="7"/>
  <c r="P88" i="7"/>
  <c r="P87" i="7"/>
  <c r="P40" i="7"/>
  <c r="P39" i="7"/>
  <c r="P36" i="7"/>
  <c r="P35" i="7"/>
  <c r="P34" i="7"/>
  <c r="P33" i="7"/>
  <c r="P29" i="7"/>
  <c r="P28" i="7"/>
  <c r="P27" i="7"/>
  <c r="P26" i="7"/>
  <c r="P24" i="7"/>
  <c r="P21" i="7"/>
  <c r="P20" i="7"/>
  <c r="P19" i="7"/>
  <c r="P18" i="7"/>
  <c r="P10" i="7"/>
  <c r="P9" i="7"/>
  <c r="P8" i="7"/>
  <c r="T126" i="7" l="1"/>
  <c r="T128" i="7" s="1"/>
  <c r="P126" i="7"/>
  <c r="P128" i="7" s="1"/>
  <c r="P95" i="7"/>
  <c r="T95" i="7"/>
  <c r="T110" i="7"/>
  <c r="G70" i="8"/>
  <c r="G78" i="8" s="1"/>
  <c r="G81" i="8" s="1"/>
  <c r="G82" i="8" s="1"/>
  <c r="G59" i="8"/>
  <c r="G176" i="8"/>
  <c r="G188" i="8" s="1"/>
  <c r="G191" i="8" s="1"/>
  <c r="G214" i="8" s="1"/>
  <c r="G161" i="7"/>
  <c r="G176" i="7" s="1"/>
  <c r="G188" i="7" s="1"/>
  <c r="G191" i="7" s="1"/>
  <c r="G214" i="7" s="1"/>
  <c r="P11" i="7"/>
  <c r="P32" i="7"/>
  <c r="T41" i="7"/>
  <c r="T68" i="7" s="1"/>
  <c r="P156" i="7"/>
  <c r="P23" i="7"/>
  <c r="P146" i="7"/>
  <c r="P148" i="7" s="1"/>
  <c r="P17" i="7"/>
  <c r="P22" i="7" s="1"/>
  <c r="T17" i="7"/>
  <c r="T22" i="7" s="1"/>
  <c r="P41" i="7"/>
  <c r="P68" i="7" s="1"/>
  <c r="T23" i="7"/>
  <c r="T146" i="7"/>
  <c r="T148" i="7" s="1"/>
  <c r="P97" i="7"/>
  <c r="P110" i="7"/>
  <c r="T32" i="7"/>
  <c r="T156" i="7"/>
  <c r="T97" i="7"/>
  <c r="P139" i="7"/>
  <c r="S156" i="8"/>
  <c r="R156" i="8"/>
  <c r="O156" i="8"/>
  <c r="N156" i="8"/>
  <c r="F156" i="8"/>
  <c r="Q156" i="8" s="1"/>
  <c r="S153" i="8"/>
  <c r="S153" i="7" s="1"/>
  <c r="R153" i="8"/>
  <c r="R153" i="7" s="1"/>
  <c r="O153" i="8"/>
  <c r="O153" i="7" s="1"/>
  <c r="N153" i="8"/>
  <c r="N153" i="7" s="1"/>
  <c r="F153" i="8"/>
  <c r="F153" i="7" s="1"/>
  <c r="D153" i="7"/>
  <c r="S152" i="8"/>
  <c r="S152" i="7" s="1"/>
  <c r="R152" i="8"/>
  <c r="R152" i="7" s="1"/>
  <c r="O152" i="8"/>
  <c r="O152" i="7" s="1"/>
  <c r="O155" i="7" s="1"/>
  <c r="N152" i="8"/>
  <c r="N152" i="7" s="1"/>
  <c r="F152" i="8"/>
  <c r="F152" i="7" s="1"/>
  <c r="D152" i="7"/>
  <c r="T156" i="8"/>
  <c r="T153" i="8"/>
  <c r="T153" i="7" s="1"/>
  <c r="P156" i="8"/>
  <c r="T146" i="8"/>
  <c r="T148" i="8" s="1"/>
  <c r="P146" i="8"/>
  <c r="T139" i="8"/>
  <c r="P153" i="8"/>
  <c r="P153" i="7" s="1"/>
  <c r="T152" i="8"/>
  <c r="T152" i="7" s="1"/>
  <c r="P152" i="8"/>
  <c r="P152" i="7" s="1"/>
  <c r="P126" i="8"/>
  <c r="P128" i="8" s="1"/>
  <c r="P110" i="8"/>
  <c r="T95" i="8"/>
  <c r="T97" i="8" s="1"/>
  <c r="P95" i="8"/>
  <c r="P97" i="8" s="1"/>
  <c r="T80" i="7"/>
  <c r="T67" i="8"/>
  <c r="P41" i="8"/>
  <c r="T32" i="8"/>
  <c r="S23" i="8"/>
  <c r="O23" i="8"/>
  <c r="R155" i="7" l="1"/>
  <c r="P155" i="7"/>
  <c r="P157" i="7" s="1"/>
  <c r="T155" i="7"/>
  <c r="T157" i="7" s="1"/>
  <c r="S155" i="7"/>
  <c r="F155" i="7"/>
  <c r="N155" i="7"/>
  <c r="P149" i="7"/>
  <c r="D155" i="7"/>
  <c r="T149" i="7"/>
  <c r="G71" i="8"/>
  <c r="F155" i="8"/>
  <c r="R155" i="8"/>
  <c r="R157" i="8" s="1"/>
  <c r="S155" i="8"/>
  <c r="S157" i="8" s="1"/>
  <c r="T155" i="8"/>
  <c r="G79" i="8"/>
  <c r="U60" i="8"/>
  <c r="T60" i="8"/>
  <c r="T60" i="7" s="1"/>
  <c r="Q152" i="8"/>
  <c r="Q152" i="7" s="1"/>
  <c r="Q153" i="8"/>
  <c r="Q153" i="7" s="1"/>
  <c r="P30" i="7"/>
  <c r="P38" i="7" s="1"/>
  <c r="P42" i="7" s="1"/>
  <c r="P44" i="7" s="1"/>
  <c r="T30" i="7"/>
  <c r="T31" i="7" s="1"/>
  <c r="T111" i="7"/>
  <c r="P111" i="7"/>
  <c r="P68" i="8"/>
  <c r="P111" i="8"/>
  <c r="T126" i="8"/>
  <c r="N155" i="8"/>
  <c r="N157" i="8" s="1"/>
  <c r="T111" i="8"/>
  <c r="P32" i="8"/>
  <c r="P139" i="8"/>
  <c r="D157" i="8"/>
  <c r="O155" i="8"/>
  <c r="O157" i="8" s="1"/>
  <c r="T17" i="8"/>
  <c r="T12" i="8" s="1"/>
  <c r="T23" i="8"/>
  <c r="P67" i="8"/>
  <c r="P155" i="8"/>
  <c r="T41" i="8"/>
  <c r="P23" i="8"/>
  <c r="P17" i="8"/>
  <c r="P12" i="8" s="1"/>
  <c r="T149" i="8" l="1"/>
  <c r="T128" i="8"/>
  <c r="Q155" i="7"/>
  <c r="Q157" i="7" s="1"/>
  <c r="P46" i="7"/>
  <c r="P58" i="7"/>
  <c r="P59" i="7" s="1"/>
  <c r="P150" i="7"/>
  <c r="U60" i="7"/>
  <c r="P66" i="7"/>
  <c r="T38" i="7"/>
  <c r="T42" i="7" s="1"/>
  <c r="T44" i="7" s="1"/>
  <c r="T58" i="7" s="1"/>
  <c r="P31" i="7"/>
  <c r="F157" i="8"/>
  <c r="Q157" i="8" s="1"/>
  <c r="Q155" i="8"/>
  <c r="P45" i="7"/>
  <c r="T157" i="8"/>
  <c r="P157" i="8"/>
  <c r="P149" i="8"/>
  <c r="P22" i="8"/>
  <c r="P12" i="7"/>
  <c r="T22" i="8"/>
  <c r="T12" i="7"/>
  <c r="T68" i="8"/>
  <c r="T45" i="7" l="1"/>
  <c r="T59" i="7"/>
  <c r="T46" i="7"/>
  <c r="T66" i="7"/>
  <c r="T70" i="7" s="1"/>
  <c r="T30" i="8"/>
  <c r="P30" i="8"/>
  <c r="P38" i="8" s="1"/>
  <c r="T71" i="7" l="1"/>
  <c r="T78" i="7"/>
  <c r="T79" i="7" s="1"/>
  <c r="T31" i="8"/>
  <c r="T38" i="8"/>
  <c r="T42" i="8" s="1"/>
  <c r="P31" i="8"/>
  <c r="P42" i="8"/>
  <c r="P44" i="8" l="1"/>
  <c r="P46" i="8" s="1"/>
  <c r="T44" i="8"/>
  <c r="T58" i="8" s="1"/>
  <c r="O11" i="8"/>
  <c r="D164" i="7"/>
  <c r="E164" i="7"/>
  <c r="F164" i="7"/>
  <c r="D167" i="7"/>
  <c r="E167" i="7"/>
  <c r="F167" i="7"/>
  <c r="D168" i="7"/>
  <c r="E168" i="7"/>
  <c r="F168" i="7"/>
  <c r="D170" i="7"/>
  <c r="E170" i="7"/>
  <c r="F170" i="7"/>
  <c r="D171" i="7"/>
  <c r="E171" i="7"/>
  <c r="F171" i="7"/>
  <c r="D172" i="7"/>
  <c r="E172" i="7"/>
  <c r="F172" i="7"/>
  <c r="D175" i="7"/>
  <c r="E175" i="7"/>
  <c r="F175" i="7"/>
  <c r="F203" i="7"/>
  <c r="E203" i="7"/>
  <c r="D203" i="7"/>
  <c r="F200" i="7"/>
  <c r="E200" i="7"/>
  <c r="D200" i="7"/>
  <c r="F195" i="7"/>
  <c r="E195" i="7"/>
  <c r="D195" i="7"/>
  <c r="F194" i="7"/>
  <c r="E194" i="7"/>
  <c r="D194" i="7"/>
  <c r="F193" i="7"/>
  <c r="E193" i="7"/>
  <c r="D193" i="7"/>
  <c r="F190" i="7"/>
  <c r="E190" i="7"/>
  <c r="D190" i="7"/>
  <c r="F189" i="7"/>
  <c r="E189" i="7"/>
  <c r="D189" i="7"/>
  <c r="F187" i="7"/>
  <c r="E187" i="7"/>
  <c r="D187" i="7"/>
  <c r="F185" i="7"/>
  <c r="E185" i="7"/>
  <c r="D185" i="7"/>
  <c r="F184" i="7"/>
  <c r="E184" i="7"/>
  <c r="D184" i="7"/>
  <c r="F183" i="7"/>
  <c r="E183" i="7"/>
  <c r="D183" i="7"/>
  <c r="F182" i="7"/>
  <c r="E182" i="7"/>
  <c r="D182" i="7"/>
  <c r="F181" i="7"/>
  <c r="E181" i="7"/>
  <c r="D181" i="7"/>
  <c r="F180" i="7"/>
  <c r="E180" i="7"/>
  <c r="D180" i="7"/>
  <c r="F179" i="7"/>
  <c r="E179" i="7"/>
  <c r="D179" i="7"/>
  <c r="F178" i="7"/>
  <c r="E178" i="7"/>
  <c r="D178" i="7"/>
  <c r="F163" i="7"/>
  <c r="E163" i="7"/>
  <c r="D163" i="7"/>
  <c r="N141" i="7"/>
  <c r="D141" i="7"/>
  <c r="F138" i="7"/>
  <c r="E138" i="7"/>
  <c r="D138" i="7"/>
  <c r="F137" i="7"/>
  <c r="E137" i="7"/>
  <c r="D137" i="7"/>
  <c r="F135" i="7"/>
  <c r="E135" i="7"/>
  <c r="D135" i="7"/>
  <c r="F132" i="7"/>
  <c r="E132" i="7"/>
  <c r="D132" i="7"/>
  <c r="N130" i="7"/>
  <c r="F130" i="7"/>
  <c r="E130" i="7"/>
  <c r="D130" i="7"/>
  <c r="S125" i="7"/>
  <c r="R125" i="7"/>
  <c r="O125" i="7"/>
  <c r="N125" i="7"/>
  <c r="S124" i="7"/>
  <c r="R124" i="7"/>
  <c r="O124" i="7"/>
  <c r="N124" i="7"/>
  <c r="S121" i="7"/>
  <c r="R121" i="7"/>
  <c r="O121" i="7"/>
  <c r="N121" i="7"/>
  <c r="S120" i="7"/>
  <c r="R120" i="7"/>
  <c r="O120" i="7"/>
  <c r="N120" i="7"/>
  <c r="S119" i="7"/>
  <c r="R119" i="7"/>
  <c r="O119" i="7"/>
  <c r="N119" i="7"/>
  <c r="S118" i="7"/>
  <c r="R118" i="7"/>
  <c r="O118" i="7"/>
  <c r="N118" i="7"/>
  <c r="S116" i="7"/>
  <c r="R116" i="7"/>
  <c r="O116" i="7"/>
  <c r="N116" i="7"/>
  <c r="S115" i="7"/>
  <c r="R115" i="7"/>
  <c r="O115" i="7"/>
  <c r="N115" i="7"/>
  <c r="F125" i="7"/>
  <c r="E125" i="7"/>
  <c r="D125" i="7"/>
  <c r="F124" i="7"/>
  <c r="E124" i="7"/>
  <c r="D124" i="7"/>
  <c r="F121" i="7"/>
  <c r="E121" i="7"/>
  <c r="D121" i="7"/>
  <c r="F120" i="7"/>
  <c r="E120" i="7"/>
  <c r="D120" i="7"/>
  <c r="F119" i="7"/>
  <c r="E119" i="7"/>
  <c r="D119" i="7"/>
  <c r="F118" i="7"/>
  <c r="E118" i="7"/>
  <c r="D118" i="7"/>
  <c r="F116" i="7"/>
  <c r="E116" i="7"/>
  <c r="D116" i="7"/>
  <c r="F115" i="7"/>
  <c r="E115" i="7"/>
  <c r="D115" i="7"/>
  <c r="S108" i="7"/>
  <c r="R108" i="7"/>
  <c r="O108" i="7"/>
  <c r="N108" i="7"/>
  <c r="S107" i="7"/>
  <c r="R107" i="7"/>
  <c r="O107" i="7"/>
  <c r="N107" i="7"/>
  <c r="S106" i="7"/>
  <c r="R106" i="7"/>
  <c r="O106" i="7"/>
  <c r="N106" i="7"/>
  <c r="S105" i="7"/>
  <c r="R105" i="7"/>
  <c r="O105" i="7"/>
  <c r="N105" i="7"/>
  <c r="S104" i="7"/>
  <c r="R104" i="7"/>
  <c r="O104" i="7"/>
  <c r="N104" i="7"/>
  <c r="S102" i="7"/>
  <c r="R102" i="7"/>
  <c r="O102" i="7"/>
  <c r="N102" i="7"/>
  <c r="S101" i="7"/>
  <c r="R101" i="7"/>
  <c r="O101" i="7"/>
  <c r="N101" i="7"/>
  <c r="S100" i="7"/>
  <c r="R100" i="7"/>
  <c r="O100" i="7"/>
  <c r="N100" i="7"/>
  <c r="S99" i="7"/>
  <c r="R99" i="7"/>
  <c r="O99" i="7"/>
  <c r="N99" i="7"/>
  <c r="F108" i="7"/>
  <c r="E108" i="7"/>
  <c r="D108" i="7"/>
  <c r="F107" i="7"/>
  <c r="E107" i="7"/>
  <c r="D107" i="7"/>
  <c r="F106" i="7"/>
  <c r="E106" i="7"/>
  <c r="D106" i="7"/>
  <c r="F105" i="7"/>
  <c r="E105" i="7"/>
  <c r="D105" i="7"/>
  <c r="F104" i="7"/>
  <c r="E104" i="7"/>
  <c r="D104" i="7"/>
  <c r="F102" i="7"/>
  <c r="E102" i="7"/>
  <c r="D102" i="7"/>
  <c r="F101" i="7"/>
  <c r="E101" i="7"/>
  <c r="D101" i="7"/>
  <c r="F100" i="7"/>
  <c r="E100" i="7"/>
  <c r="D100" i="7"/>
  <c r="F99" i="7"/>
  <c r="E99" i="7"/>
  <c r="D99" i="7"/>
  <c r="S94" i="7"/>
  <c r="R94" i="7"/>
  <c r="O94" i="7"/>
  <c r="N94" i="7"/>
  <c r="F94" i="7"/>
  <c r="E94" i="7"/>
  <c r="D94" i="7"/>
  <c r="S92" i="7"/>
  <c r="R92" i="7"/>
  <c r="O92" i="7"/>
  <c r="N92" i="7"/>
  <c r="F92" i="7"/>
  <c r="E92" i="7"/>
  <c r="D92" i="7"/>
  <c r="S91" i="7"/>
  <c r="R91" i="7"/>
  <c r="O91" i="7"/>
  <c r="N91" i="7"/>
  <c r="F91" i="7"/>
  <c r="E91" i="7"/>
  <c r="D91" i="7"/>
  <c r="S90" i="7"/>
  <c r="R90" i="7"/>
  <c r="O90" i="7"/>
  <c r="N90" i="7"/>
  <c r="F90" i="7"/>
  <c r="E90" i="7"/>
  <c r="D90" i="7"/>
  <c r="S89" i="7"/>
  <c r="R89" i="7"/>
  <c r="O89" i="7"/>
  <c r="N89" i="7"/>
  <c r="F89" i="7"/>
  <c r="E89" i="7"/>
  <c r="D89" i="7"/>
  <c r="S88" i="7"/>
  <c r="R88" i="7"/>
  <c r="O88" i="7"/>
  <c r="N88" i="7"/>
  <c r="F88" i="7"/>
  <c r="E88" i="7"/>
  <c r="D88" i="7"/>
  <c r="S87" i="7"/>
  <c r="R87" i="7"/>
  <c r="O87" i="7"/>
  <c r="N87" i="7"/>
  <c r="F87" i="7"/>
  <c r="E87" i="7"/>
  <c r="D87" i="7"/>
  <c r="N69" i="7"/>
  <c r="S40" i="7"/>
  <c r="R40" i="7"/>
  <c r="O40" i="7"/>
  <c r="N40" i="7"/>
  <c r="F40" i="7"/>
  <c r="E40" i="7"/>
  <c r="D40" i="7"/>
  <c r="S39" i="7"/>
  <c r="R39" i="7"/>
  <c r="O39" i="7"/>
  <c r="N39" i="7"/>
  <c r="F39" i="7"/>
  <c r="E39" i="7"/>
  <c r="D39" i="7"/>
  <c r="S36" i="7"/>
  <c r="R36" i="7"/>
  <c r="O36" i="7"/>
  <c r="N36" i="7"/>
  <c r="S35" i="7"/>
  <c r="R35" i="7"/>
  <c r="O35" i="7"/>
  <c r="N35" i="7"/>
  <c r="S34" i="7"/>
  <c r="R34" i="7"/>
  <c r="O34" i="7"/>
  <c r="N34" i="7"/>
  <c r="S33" i="7"/>
  <c r="R33" i="7"/>
  <c r="O33" i="7"/>
  <c r="N33" i="7"/>
  <c r="F36" i="7"/>
  <c r="E36" i="7"/>
  <c r="D36" i="7"/>
  <c r="F35" i="7"/>
  <c r="E35" i="7"/>
  <c r="D35" i="7"/>
  <c r="F34" i="7"/>
  <c r="E34" i="7"/>
  <c r="D34" i="7"/>
  <c r="F33" i="7"/>
  <c r="E33" i="7"/>
  <c r="D33" i="7"/>
  <c r="S29" i="7"/>
  <c r="R29" i="7"/>
  <c r="O29" i="7"/>
  <c r="N29" i="7"/>
  <c r="S28" i="7"/>
  <c r="R28" i="7"/>
  <c r="O28" i="7"/>
  <c r="N28" i="7"/>
  <c r="S27" i="7"/>
  <c r="R27" i="7"/>
  <c r="O27" i="7"/>
  <c r="N27" i="7"/>
  <c r="S26" i="7"/>
  <c r="R26" i="7"/>
  <c r="O26" i="7"/>
  <c r="N26" i="7"/>
  <c r="S25" i="7"/>
  <c r="R25" i="7"/>
  <c r="O25" i="7"/>
  <c r="N25" i="7"/>
  <c r="S24" i="7"/>
  <c r="R24" i="7"/>
  <c r="O24" i="7"/>
  <c r="N24" i="7"/>
  <c r="F29" i="7"/>
  <c r="E29" i="7"/>
  <c r="D29" i="7"/>
  <c r="F28" i="7"/>
  <c r="E28" i="7"/>
  <c r="D28" i="7"/>
  <c r="F27" i="7"/>
  <c r="E27" i="7"/>
  <c r="D27" i="7"/>
  <c r="F26" i="7"/>
  <c r="E26" i="7"/>
  <c r="D26" i="7"/>
  <c r="F25" i="7"/>
  <c r="E25" i="7"/>
  <c r="D25" i="7"/>
  <c r="F24" i="7"/>
  <c r="E24" i="7"/>
  <c r="D24" i="7"/>
  <c r="S21" i="7"/>
  <c r="R21" i="7"/>
  <c r="O21" i="7"/>
  <c r="N21" i="7"/>
  <c r="S20" i="7"/>
  <c r="R20" i="7"/>
  <c r="O20" i="7"/>
  <c r="N20" i="7"/>
  <c r="S19" i="7"/>
  <c r="R19" i="7"/>
  <c r="O19" i="7"/>
  <c r="N19" i="7"/>
  <c r="S18" i="7"/>
  <c r="R18" i="7"/>
  <c r="O18" i="7"/>
  <c r="N18" i="7"/>
  <c r="F21" i="7"/>
  <c r="E21" i="7"/>
  <c r="D21" i="7"/>
  <c r="F20" i="7"/>
  <c r="E20" i="7"/>
  <c r="D20" i="7"/>
  <c r="F19" i="7"/>
  <c r="E19" i="7"/>
  <c r="D19" i="7"/>
  <c r="F18" i="7"/>
  <c r="E18" i="7"/>
  <c r="D18" i="7"/>
  <c r="O10" i="7"/>
  <c r="N10" i="7"/>
  <c r="O9" i="7"/>
  <c r="N9" i="7"/>
  <c r="O8" i="7"/>
  <c r="N8" i="7"/>
  <c r="F10" i="7"/>
  <c r="E10" i="7"/>
  <c r="D10" i="7"/>
  <c r="F9" i="7"/>
  <c r="E9" i="7"/>
  <c r="D9" i="7"/>
  <c r="F8" i="7"/>
  <c r="E8" i="7"/>
  <c r="D8" i="7"/>
  <c r="O69" i="8"/>
  <c r="S69" i="8"/>
  <c r="S69" i="7" s="1"/>
  <c r="F216" i="8"/>
  <c r="E216" i="8"/>
  <c r="F215" i="8" s="1"/>
  <c r="D216" i="8"/>
  <c r="D217" i="8" s="1"/>
  <c r="F212" i="8"/>
  <c r="E212" i="8"/>
  <c r="D212" i="8"/>
  <c r="F201" i="8"/>
  <c r="E201" i="8"/>
  <c r="S146" i="8"/>
  <c r="S148" i="8" s="1"/>
  <c r="R146" i="8"/>
  <c r="R148" i="8" s="1"/>
  <c r="O146" i="8"/>
  <c r="N146" i="8"/>
  <c r="F146" i="8"/>
  <c r="E146" i="8"/>
  <c r="E148" i="8" s="1"/>
  <c r="D146" i="8"/>
  <c r="D148" i="8" s="1"/>
  <c r="S139" i="8"/>
  <c r="R139" i="8"/>
  <c r="O139" i="8"/>
  <c r="N139" i="8"/>
  <c r="F139" i="8"/>
  <c r="Q139" i="8" s="1"/>
  <c r="E139" i="8"/>
  <c r="D139" i="8"/>
  <c r="S126" i="8"/>
  <c r="S128" i="8" s="1"/>
  <c r="R126" i="8"/>
  <c r="R128" i="8" s="1"/>
  <c r="O126" i="8"/>
  <c r="O128" i="8" s="1"/>
  <c r="N126" i="8"/>
  <c r="N128" i="8" s="1"/>
  <c r="F126" i="8"/>
  <c r="E126" i="8"/>
  <c r="E128" i="8" s="1"/>
  <c r="D126" i="8"/>
  <c r="D128" i="8" s="1"/>
  <c r="O110" i="8"/>
  <c r="N110" i="8"/>
  <c r="F110" i="8"/>
  <c r="Q110" i="8" s="1"/>
  <c r="E110" i="8"/>
  <c r="D110" i="8"/>
  <c r="S95" i="8"/>
  <c r="S97" i="8" s="1"/>
  <c r="R95" i="8"/>
  <c r="R97" i="8" s="1"/>
  <c r="O95" i="8"/>
  <c r="O97" i="8" s="1"/>
  <c r="N95" i="8"/>
  <c r="N97" i="8" s="1"/>
  <c r="F95" i="8"/>
  <c r="F97" i="8" s="1"/>
  <c r="E95" i="8"/>
  <c r="E97" i="8" s="1"/>
  <c r="D95" i="8"/>
  <c r="D97" i="8" s="1"/>
  <c r="F69" i="8"/>
  <c r="E69" i="8"/>
  <c r="E69" i="7" s="1"/>
  <c r="D69" i="7"/>
  <c r="O65" i="8"/>
  <c r="S67" i="8"/>
  <c r="R67" i="8"/>
  <c r="O67" i="8"/>
  <c r="N67" i="8"/>
  <c r="F67" i="8"/>
  <c r="E67" i="8"/>
  <c r="S41" i="8"/>
  <c r="S68" i="8" s="1"/>
  <c r="R41" i="8"/>
  <c r="O41" i="8"/>
  <c r="O68" i="8" s="1"/>
  <c r="N41" i="8"/>
  <c r="F41" i="8"/>
  <c r="F68" i="8" s="1"/>
  <c r="E41" i="8"/>
  <c r="E68" i="8" s="1"/>
  <c r="D41" i="8"/>
  <c r="D68" i="8" s="1"/>
  <c r="S32" i="8"/>
  <c r="R32" i="8"/>
  <c r="O32" i="8"/>
  <c r="N32" i="8"/>
  <c r="F32" i="8"/>
  <c r="E32" i="8"/>
  <c r="D32" i="8"/>
  <c r="R23" i="8"/>
  <c r="N23" i="8"/>
  <c r="F23" i="8"/>
  <c r="E23" i="8"/>
  <c r="D23" i="8"/>
  <c r="S17" i="8"/>
  <c r="R17" i="8"/>
  <c r="R12" i="8" s="1"/>
  <c r="O17" i="8"/>
  <c r="O12" i="8" s="1"/>
  <c r="N17" i="8"/>
  <c r="N12" i="8" s="1"/>
  <c r="F17" i="8"/>
  <c r="F12" i="8" s="1"/>
  <c r="F12" i="7" s="1"/>
  <c r="E17" i="8"/>
  <c r="E12" i="8" s="1"/>
  <c r="E12" i="7" s="1"/>
  <c r="D17" i="8"/>
  <c r="D22" i="8" s="1"/>
  <c r="N11" i="8"/>
  <c r="F11" i="8"/>
  <c r="E11" i="8"/>
  <c r="D11" i="8"/>
  <c r="R95" i="7" l="1"/>
  <c r="N126" i="7"/>
  <c r="N128" i="7" s="1"/>
  <c r="O126" i="7"/>
  <c r="O128" i="7" s="1"/>
  <c r="R126" i="7"/>
  <c r="R128" i="7" s="1"/>
  <c r="S126" i="7"/>
  <c r="S128" i="7" s="1"/>
  <c r="D126" i="7"/>
  <c r="D128" i="7" s="1"/>
  <c r="E126" i="7"/>
  <c r="E128" i="7" s="1"/>
  <c r="F126" i="7"/>
  <c r="F128" i="7" s="1"/>
  <c r="O95" i="7"/>
  <c r="S95" i="7"/>
  <c r="D216" i="7"/>
  <c r="E215" i="7" s="1"/>
  <c r="D95" i="7"/>
  <c r="D97" i="7" s="1"/>
  <c r="E216" i="7"/>
  <c r="F215" i="7" s="1"/>
  <c r="E95" i="7"/>
  <c r="E97" i="7" s="1"/>
  <c r="F216" i="7"/>
  <c r="G215" i="7" s="1"/>
  <c r="G217" i="7" s="1"/>
  <c r="F95" i="7"/>
  <c r="N95" i="7"/>
  <c r="Q126" i="8"/>
  <c r="Q128" i="8" s="1"/>
  <c r="F128" i="8"/>
  <c r="Q95" i="8"/>
  <c r="Q97" i="8" s="1"/>
  <c r="S110" i="7"/>
  <c r="S22" i="8"/>
  <c r="S30" i="8" s="1"/>
  <c r="S38" i="8" s="1"/>
  <c r="S42" i="8" s="1"/>
  <c r="S44" i="8" s="1"/>
  <c r="S58" i="8" s="1"/>
  <c r="S12" i="8"/>
  <c r="S12" i="7" s="1"/>
  <c r="R110" i="7"/>
  <c r="D110" i="7"/>
  <c r="E110" i="7"/>
  <c r="F110" i="7"/>
  <c r="G215" i="8"/>
  <c r="G217" i="8" s="1"/>
  <c r="T46" i="8"/>
  <c r="R149" i="8"/>
  <c r="S149" i="8"/>
  <c r="T59" i="8"/>
  <c r="T45" i="8"/>
  <c r="P45" i="8"/>
  <c r="P58" i="8"/>
  <c r="P59" i="8" s="1"/>
  <c r="Q146" i="8"/>
  <c r="Q148" i="8" s="1"/>
  <c r="F148" i="8"/>
  <c r="F69" i="7"/>
  <c r="R68" i="8"/>
  <c r="R22" i="8"/>
  <c r="N22" i="8"/>
  <c r="N30" i="8" s="1"/>
  <c r="N68" i="8"/>
  <c r="P66" i="8"/>
  <c r="T66" i="8"/>
  <c r="T70" i="8" s="1"/>
  <c r="T78" i="8" s="1"/>
  <c r="O69" i="7"/>
  <c r="P69" i="8"/>
  <c r="P69" i="7" s="1"/>
  <c r="P70" i="7" s="1"/>
  <c r="E22" i="8"/>
  <c r="E30" i="8" s="1"/>
  <c r="E38" i="8" s="1"/>
  <c r="E42" i="8" s="1"/>
  <c r="E44" i="8" s="1"/>
  <c r="E58" i="8" s="1"/>
  <c r="E61" i="8" s="1"/>
  <c r="E62" i="8" s="1"/>
  <c r="F22" i="8"/>
  <c r="F30" i="8" s="1"/>
  <c r="O22" i="8"/>
  <c r="O30" i="8" s="1"/>
  <c r="E11" i="7"/>
  <c r="D201" i="7"/>
  <c r="E201" i="7"/>
  <c r="E212" i="7"/>
  <c r="N23" i="7"/>
  <c r="F201" i="7"/>
  <c r="O156" i="7"/>
  <c r="R156" i="7"/>
  <c r="S156" i="7"/>
  <c r="S146" i="7"/>
  <c r="S148" i="7" s="1"/>
  <c r="F212" i="7"/>
  <c r="S32" i="7"/>
  <c r="O11" i="7"/>
  <c r="N32" i="7"/>
  <c r="N110" i="7"/>
  <c r="O32" i="7"/>
  <c r="N156" i="7"/>
  <c r="F11" i="7"/>
  <c r="D156" i="7"/>
  <c r="N11" i="7"/>
  <c r="E156" i="7"/>
  <c r="O23" i="7"/>
  <c r="F156" i="7"/>
  <c r="D11" i="7"/>
  <c r="D212" i="7"/>
  <c r="R32" i="7"/>
  <c r="O139" i="7"/>
  <c r="D139" i="7"/>
  <c r="F139" i="7"/>
  <c r="N17" i="7"/>
  <c r="R23" i="7"/>
  <c r="O110" i="7"/>
  <c r="N139" i="7"/>
  <c r="E139" i="7"/>
  <c r="D41" i="7"/>
  <c r="D68" i="7" s="1"/>
  <c r="S23" i="7"/>
  <c r="R17" i="7"/>
  <c r="R22" i="7" s="1"/>
  <c r="O41" i="7"/>
  <c r="O68" i="7" s="1"/>
  <c r="F146" i="7"/>
  <c r="F148" i="7" s="1"/>
  <c r="N146" i="7"/>
  <c r="N148" i="7" s="1"/>
  <c r="O17" i="7"/>
  <c r="S17" i="7"/>
  <c r="S22" i="7" s="1"/>
  <c r="D146" i="7"/>
  <c r="D148" i="7" s="1"/>
  <c r="O146" i="7"/>
  <c r="O148" i="7" s="1"/>
  <c r="S41" i="7"/>
  <c r="S68" i="7" s="1"/>
  <c r="D67" i="7"/>
  <c r="R146" i="7"/>
  <c r="R148" i="7" s="1"/>
  <c r="R149" i="7" s="1"/>
  <c r="E146" i="7"/>
  <c r="E148" i="7" s="1"/>
  <c r="F41" i="7"/>
  <c r="F68" i="7" s="1"/>
  <c r="O67" i="7"/>
  <c r="N67" i="7"/>
  <c r="E23" i="7"/>
  <c r="E41" i="7"/>
  <c r="E68" i="7" s="1"/>
  <c r="R41" i="7"/>
  <c r="R68" i="7" s="1"/>
  <c r="E67" i="7"/>
  <c r="N41" i="7"/>
  <c r="N68" i="7" s="1"/>
  <c r="F67" i="7"/>
  <c r="N97" i="7"/>
  <c r="S97" i="7"/>
  <c r="R97" i="7"/>
  <c r="F17" i="7"/>
  <c r="F22" i="7" s="1"/>
  <c r="E32" i="7"/>
  <c r="F32" i="7"/>
  <c r="O97" i="7"/>
  <c r="F23" i="7"/>
  <c r="D17" i="7"/>
  <c r="D22" i="7" s="1"/>
  <c r="E17" i="7"/>
  <c r="E22" i="7" s="1"/>
  <c r="D23" i="7"/>
  <c r="D32" i="7"/>
  <c r="F111" i="8"/>
  <c r="Q111" i="8" s="1"/>
  <c r="S111" i="8"/>
  <c r="D149" i="8"/>
  <c r="O149" i="8"/>
  <c r="O12" i="7"/>
  <c r="R111" i="8"/>
  <c r="N12" i="7"/>
  <c r="D30" i="8"/>
  <c r="D38" i="8" s="1"/>
  <c r="D42" i="8" s="1"/>
  <c r="D44" i="8" s="1"/>
  <c r="D58" i="8" s="1"/>
  <c r="D61" i="8" s="1"/>
  <c r="D62" i="8" s="1"/>
  <c r="R12" i="7"/>
  <c r="E215" i="8"/>
  <c r="E217" i="8" s="1"/>
  <c r="F217" i="8"/>
  <c r="N111" i="8"/>
  <c r="E149" i="8"/>
  <c r="D12" i="8"/>
  <c r="D12" i="7" s="1"/>
  <c r="D111" i="8"/>
  <c r="O111" i="8"/>
  <c r="E111" i="8"/>
  <c r="F149" i="8"/>
  <c r="N149" i="8"/>
  <c r="Q95" i="7" l="1"/>
  <c r="F97" i="7"/>
  <c r="O149" i="7"/>
  <c r="D217" i="7"/>
  <c r="S149" i="7"/>
  <c r="N149" i="7"/>
  <c r="E217" i="7"/>
  <c r="F217" i="7"/>
  <c r="F150" i="8"/>
  <c r="E150" i="8"/>
  <c r="D150" i="8"/>
  <c r="Q149" i="8"/>
  <c r="E46" i="8"/>
  <c r="E46" i="7" s="1"/>
  <c r="S46" i="8"/>
  <c r="D46" i="8"/>
  <c r="D46" i="7" s="1"/>
  <c r="P70" i="8"/>
  <c r="P71" i="8" s="1"/>
  <c r="E45" i="8"/>
  <c r="S59" i="8"/>
  <c r="S45" i="8"/>
  <c r="D66" i="8"/>
  <c r="D70" i="8" s="1"/>
  <c r="D45" i="8"/>
  <c r="D161" i="8"/>
  <c r="D176" i="8" s="1"/>
  <c r="D188" i="8" s="1"/>
  <c r="D191" i="8" s="1"/>
  <c r="D214" i="8" s="1"/>
  <c r="T71" i="8"/>
  <c r="F149" i="7"/>
  <c r="D149" i="7"/>
  <c r="E149" i="7"/>
  <c r="Q69" i="8"/>
  <c r="E157" i="7"/>
  <c r="S157" i="7"/>
  <c r="P71" i="7"/>
  <c r="P78" i="7"/>
  <c r="P79" i="7" s="1"/>
  <c r="D157" i="7"/>
  <c r="N157" i="7"/>
  <c r="F157" i="7"/>
  <c r="O157" i="7"/>
  <c r="R157" i="7"/>
  <c r="R30" i="8"/>
  <c r="R38" i="8" s="1"/>
  <c r="N38" i="8"/>
  <c r="O38" i="8"/>
  <c r="O42" i="8" s="1"/>
  <c r="O44" i="8" s="1"/>
  <c r="O46" i="8" s="1"/>
  <c r="O31" i="8"/>
  <c r="O22" i="7"/>
  <c r="O30" i="7" s="1"/>
  <c r="O31" i="7" s="1"/>
  <c r="N22" i="7"/>
  <c r="N30" i="7" s="1"/>
  <c r="N31" i="7" s="1"/>
  <c r="S31" i="8"/>
  <c r="R30" i="7"/>
  <c r="O111" i="7"/>
  <c r="D111" i="7"/>
  <c r="S30" i="7"/>
  <c r="D31" i="8"/>
  <c r="E30" i="7"/>
  <c r="F111" i="7"/>
  <c r="R111" i="7"/>
  <c r="N111" i="7"/>
  <c r="E111" i="7"/>
  <c r="S111" i="7"/>
  <c r="D30" i="7"/>
  <c r="F30" i="7"/>
  <c r="E31" i="8"/>
  <c r="N31" i="8"/>
  <c r="S66" i="8"/>
  <c r="S70" i="8" s="1"/>
  <c r="F31" i="8"/>
  <c r="F38" i="8"/>
  <c r="F42" i="8" s="1"/>
  <c r="F44" i="8" s="1"/>
  <c r="F58" i="8" s="1"/>
  <c r="F61" i="8" s="1"/>
  <c r="F62" i="8" s="1"/>
  <c r="E161" i="8"/>
  <c r="E66" i="8"/>
  <c r="E70" i="8" s="1"/>
  <c r="D59" i="8" l="1"/>
  <c r="E59" i="8"/>
  <c r="D150" i="7"/>
  <c r="E150" i="7"/>
  <c r="O150" i="7"/>
  <c r="N150" i="7"/>
  <c r="F150" i="7"/>
  <c r="F46" i="8"/>
  <c r="F46" i="7" s="1"/>
  <c r="D71" i="8"/>
  <c r="D78" i="8"/>
  <c r="D81" i="8" s="1"/>
  <c r="D82" i="8" s="1"/>
  <c r="E71" i="8"/>
  <c r="E78" i="8"/>
  <c r="E81" i="8" s="1"/>
  <c r="E82" i="8" s="1"/>
  <c r="S78" i="8"/>
  <c r="S79" i="8" s="1"/>
  <c r="E176" i="8"/>
  <c r="E188" i="8" s="1"/>
  <c r="E191" i="8" s="1"/>
  <c r="E214" i="8" s="1"/>
  <c r="O45" i="8"/>
  <c r="O58" i="8"/>
  <c r="O59" i="8" s="1"/>
  <c r="Q69" i="7"/>
  <c r="Q70" i="7" s="1"/>
  <c r="Q70" i="8"/>
  <c r="Q78" i="8" s="1"/>
  <c r="Q79" i="8" s="1"/>
  <c r="F45" i="8"/>
  <c r="R31" i="8"/>
  <c r="P78" i="8"/>
  <c r="P79" i="8" s="1"/>
  <c r="R42" i="8"/>
  <c r="N42" i="8"/>
  <c r="T79" i="8"/>
  <c r="O66" i="8"/>
  <c r="O70" i="8" s="1"/>
  <c r="O71" i="8" s="1"/>
  <c r="D38" i="7"/>
  <c r="D42" i="7" s="1"/>
  <c r="D44" i="7" s="1"/>
  <c r="D58" i="7" s="1"/>
  <c r="D31" i="7"/>
  <c r="S38" i="7"/>
  <c r="S42" i="7" s="1"/>
  <c r="S44" i="7" s="1"/>
  <c r="S31" i="7"/>
  <c r="R38" i="7"/>
  <c r="R42" i="7" s="1"/>
  <c r="R44" i="7" s="1"/>
  <c r="R31" i="7"/>
  <c r="E38" i="7"/>
  <c r="E42" i="7" s="1"/>
  <c r="E44" i="7" s="1"/>
  <c r="E58" i="7" s="1"/>
  <c r="E31" i="7"/>
  <c r="F38" i="7"/>
  <c r="F42" i="7" s="1"/>
  <c r="F44" i="7" s="1"/>
  <c r="F58" i="7" s="1"/>
  <c r="F31" i="7"/>
  <c r="N38" i="7"/>
  <c r="N42" i="7" s="1"/>
  <c r="N44" i="7" s="1"/>
  <c r="O38" i="7"/>
  <c r="O42" i="7" s="1"/>
  <c r="O44" i="7" s="1"/>
  <c r="F161" i="8"/>
  <c r="F66" i="8"/>
  <c r="F70" i="8" s="1"/>
  <c r="S71" i="8"/>
  <c r="N46" i="7" l="1"/>
  <c r="N58" i="7"/>
  <c r="N59" i="7" s="1"/>
  <c r="S46" i="7"/>
  <c r="S58" i="7"/>
  <c r="S59" i="7" s="1"/>
  <c r="R46" i="7"/>
  <c r="R58" i="7"/>
  <c r="R59" i="7" s="1"/>
  <c r="O46" i="7"/>
  <c r="O58" i="7"/>
  <c r="O59" i="7" s="1"/>
  <c r="D79" i="8"/>
  <c r="E79" i="8"/>
  <c r="F59" i="8"/>
  <c r="F71" i="8"/>
  <c r="F78" i="8"/>
  <c r="F81" i="8" s="1"/>
  <c r="F82" i="8" s="1"/>
  <c r="F176" i="8"/>
  <c r="F188" i="8" s="1"/>
  <c r="F191" i="8" s="1"/>
  <c r="F214" i="8" s="1"/>
  <c r="Q71" i="8"/>
  <c r="Q71" i="7"/>
  <c r="Q78" i="7"/>
  <c r="Q79" i="7" s="1"/>
  <c r="E161" i="7"/>
  <c r="F161" i="7"/>
  <c r="N45" i="7"/>
  <c r="S45" i="7"/>
  <c r="S66" i="7"/>
  <c r="S70" i="7" s="1"/>
  <c r="R66" i="7"/>
  <c r="R70" i="7" s="1"/>
  <c r="D161" i="7"/>
  <c r="O66" i="7"/>
  <c r="O70" i="7" s="1"/>
  <c r="O78" i="7" s="1"/>
  <c r="O79" i="7" s="1"/>
  <c r="O78" i="8"/>
  <c r="O79" i="8" s="1"/>
  <c r="N44" i="8"/>
  <c r="N46" i="8" s="1"/>
  <c r="R44" i="8"/>
  <c r="R58" i="8" s="1"/>
  <c r="D45" i="7"/>
  <c r="D66" i="7"/>
  <c r="D70" i="7" s="1"/>
  <c r="D78" i="7" s="1"/>
  <c r="R45" i="7"/>
  <c r="F66" i="7"/>
  <c r="F70" i="7" s="1"/>
  <c r="F78" i="7" s="1"/>
  <c r="E66" i="7"/>
  <c r="E70" i="7" s="1"/>
  <c r="E45" i="7"/>
  <c r="O45" i="7"/>
  <c r="F45" i="7"/>
  <c r="N66" i="7"/>
  <c r="N70" i="7" s="1"/>
  <c r="N71" i="7" s="1"/>
  <c r="F79" i="8" l="1"/>
  <c r="D79" i="7"/>
  <c r="D81" i="7"/>
  <c r="D82" i="7" s="1"/>
  <c r="E71" i="7"/>
  <c r="E78" i="7"/>
  <c r="F81" i="7"/>
  <c r="F82" i="7" s="1"/>
  <c r="F79" i="7"/>
  <c r="D59" i="7"/>
  <c r="D61" i="7"/>
  <c r="D62" i="7" s="1"/>
  <c r="E61" i="7"/>
  <c r="E62" i="7" s="1"/>
  <c r="E59" i="7"/>
  <c r="F61" i="7"/>
  <c r="F62" i="7" s="1"/>
  <c r="F59" i="7"/>
  <c r="R46" i="8"/>
  <c r="O71" i="7"/>
  <c r="F176" i="7"/>
  <c r="F188" i="7" s="1"/>
  <c r="F191" i="7" s="1"/>
  <c r="F214" i="7" s="1"/>
  <c r="D176" i="7"/>
  <c r="D188" i="7" s="1"/>
  <c r="D191" i="7" s="1"/>
  <c r="D214" i="7" s="1"/>
  <c r="E176" i="7"/>
  <c r="E188" i="7" s="1"/>
  <c r="E191" i="7" s="1"/>
  <c r="E214" i="7" s="1"/>
  <c r="N58" i="8"/>
  <c r="N59" i="8" s="1"/>
  <c r="N45" i="8"/>
  <c r="R59" i="8"/>
  <c r="R45" i="8"/>
  <c r="S71" i="7"/>
  <c r="S78" i="7"/>
  <c r="S79" i="7" s="1"/>
  <c r="R71" i="7"/>
  <c r="R78" i="7"/>
  <c r="R79" i="7" s="1"/>
  <c r="R66" i="8"/>
  <c r="R70" i="8" s="1"/>
  <c r="R78" i="8" s="1"/>
  <c r="D71" i="7"/>
  <c r="N66" i="8"/>
  <c r="N70" i="8" s="1"/>
  <c r="N71" i="8" s="1"/>
  <c r="F71" i="7"/>
  <c r="N78" i="7"/>
  <c r="N79" i="7" s="1"/>
  <c r="E79" i="7" l="1"/>
  <c r="E81" i="7"/>
  <c r="E82" i="7" s="1"/>
  <c r="R71" i="8"/>
  <c r="N78" i="8"/>
  <c r="N79" i="8" l="1"/>
  <c r="R79" i="8"/>
  <c r="H72" i="8"/>
  <c r="H72" i="7" s="1"/>
  <c r="H78" i="7" s="1"/>
  <c r="V72" i="7"/>
  <c r="V78" i="7" s="1"/>
  <c r="V79" i="7" s="1"/>
  <c r="V78" i="8"/>
  <c r="V79" i="8" s="1"/>
  <c r="V52" i="8"/>
  <c r="V58" i="8" s="1"/>
  <c r="V59" i="8" s="1"/>
  <c r="H52" i="8" l="1"/>
  <c r="H79" i="7"/>
  <c r="H81" i="7"/>
  <c r="H82" i="7" s="1"/>
  <c r="U52" i="8"/>
  <c r="U78" i="8"/>
  <c r="U79" i="8" s="1"/>
  <c r="U72" i="7"/>
  <c r="U78" i="7" s="1"/>
  <c r="U79" i="7" s="1"/>
  <c r="V52" i="7"/>
  <c r="V58" i="7" s="1"/>
  <c r="V59" i="7" s="1"/>
  <c r="H78" i="8"/>
  <c r="H81" i="8" s="1"/>
  <c r="H82" i="8" s="1"/>
  <c r="H58" i="8" l="1"/>
  <c r="H61" i="8" s="1"/>
  <c r="H62" i="8" s="1"/>
  <c r="H52" i="7"/>
  <c r="H58" i="7" s="1"/>
  <c r="H61" i="7" s="1"/>
  <c r="H62" i="7" s="1"/>
  <c r="H79" i="8"/>
  <c r="U58" i="8"/>
  <c r="U59" i="8" s="1"/>
  <c r="U52" i="7"/>
  <c r="U58" i="7" s="1"/>
  <c r="U59" i="7" s="1"/>
  <c r="H59" i="8" l="1"/>
  <c r="H59" i="7"/>
  <c r="Z51" i="7" l="1"/>
  <c r="Z58" i="7" s="1"/>
  <c r="Z59" i="7" s="1"/>
  <c r="Z58" i="8"/>
  <c r="Z59" i="8" s="1"/>
  <c r="AC59" i="8" l="1"/>
</calcChain>
</file>

<file path=xl/sharedStrings.xml><?xml version="1.0" encoding="utf-8"?>
<sst xmlns="http://schemas.openxmlformats.org/spreadsheetml/2006/main" count="633" uniqueCount="417">
  <si>
    <t>EBITDA</t>
  </si>
  <si>
    <t>Receitas financeiras</t>
  </si>
  <si>
    <t>Despesas financeiras</t>
  </si>
  <si>
    <t>Lucro líquido</t>
  </si>
  <si>
    <t>Ativo</t>
  </si>
  <si>
    <t>Contas a receber de clientes</t>
  </si>
  <si>
    <t>Estoques</t>
  </si>
  <si>
    <t>Outros ativos</t>
  </si>
  <si>
    <t>Investimentos</t>
  </si>
  <si>
    <t>Imobilizado</t>
  </si>
  <si>
    <t>Intangível</t>
  </si>
  <si>
    <t>Fornecedores</t>
  </si>
  <si>
    <t>Pessoal</t>
  </si>
  <si>
    <t>Aquisição de imobilizado</t>
  </si>
  <si>
    <t>Depreciação e amortização</t>
  </si>
  <si>
    <t>Outros passivos</t>
  </si>
  <si>
    <t>Circulante</t>
  </si>
  <si>
    <t>Capital Social</t>
  </si>
  <si>
    <t>Dividendos a pagar</t>
  </si>
  <si>
    <t>1T20</t>
  </si>
  <si>
    <t>1T21</t>
  </si>
  <si>
    <t>Receita bruta</t>
  </si>
  <si>
    <t>Convênios</t>
  </si>
  <si>
    <t xml:space="preserve">Particulares </t>
  </si>
  <si>
    <t>Outras receitas</t>
  </si>
  <si>
    <t>Custo dos serviços prestados</t>
  </si>
  <si>
    <t>Manutenção e conservação</t>
  </si>
  <si>
    <t>Lucro bruto</t>
  </si>
  <si>
    <t>Despesas gerais e administrativas</t>
  </si>
  <si>
    <t>Outras despesas</t>
  </si>
  <si>
    <t>Resultado financeiro líquido</t>
  </si>
  <si>
    <t>Lucro líquido do exercício</t>
  </si>
  <si>
    <t>Indicadores operacionais</t>
  </si>
  <si>
    <t>Caixa e Equivalentes de Caixa</t>
  </si>
  <si>
    <t>Aplicação financeira</t>
  </si>
  <si>
    <t>Derivativos</t>
  </si>
  <si>
    <t>Reembolso de obra</t>
  </si>
  <si>
    <t>Outros ativos circulantes</t>
  </si>
  <si>
    <t>Total do ativo circulante</t>
  </si>
  <si>
    <t>Não Circulante</t>
  </si>
  <si>
    <t>Depósitos judiciais</t>
  </si>
  <si>
    <t>IR e CSLL diferidos</t>
  </si>
  <si>
    <t>Ativos de obras a executar</t>
  </si>
  <si>
    <t>Propriedade para investimento</t>
  </si>
  <si>
    <t>Direito de uso</t>
  </si>
  <si>
    <t>Total do ativo não circulante</t>
  </si>
  <si>
    <t xml:space="preserve">Total do ativo </t>
  </si>
  <si>
    <t>Passivo</t>
  </si>
  <si>
    <t>Salários e encargos sociais</t>
  </si>
  <si>
    <t>Impostos e contribuições a recolher</t>
  </si>
  <si>
    <t>Outros passivos circulantes</t>
  </si>
  <si>
    <t>Total do passivo circulante</t>
  </si>
  <si>
    <t>Provisão para contingências</t>
  </si>
  <si>
    <t>Outros passivos não circulantes</t>
  </si>
  <si>
    <t>Total do passivo não circulante</t>
  </si>
  <si>
    <t>Patrimônio líquido</t>
  </si>
  <si>
    <t>Ajuste de avaliação patrimonial</t>
  </si>
  <si>
    <t>Total do patrimônio líquido</t>
  </si>
  <si>
    <t>Total do passivo</t>
  </si>
  <si>
    <r>
      <t>Parcelamento de impostos</t>
    </r>
    <r>
      <rPr>
        <sz val="11"/>
        <color theme="0"/>
        <rFont val="Calibri"/>
        <family val="2"/>
        <scheme val="minor"/>
      </rPr>
      <t xml:space="preserve"> CP</t>
    </r>
  </si>
  <si>
    <r>
      <t>Parcelamento de impostos</t>
    </r>
    <r>
      <rPr>
        <sz val="11"/>
        <color theme="0"/>
        <rFont val="Calibri"/>
        <family val="2"/>
        <scheme val="minor"/>
      </rPr>
      <t xml:space="preserve"> LP</t>
    </r>
  </si>
  <si>
    <t>Fluxo de caixa provenientes das operações</t>
  </si>
  <si>
    <t>Ajustes para conciliar o superávit ao caixa líquido</t>
  </si>
  <si>
    <t>Perda na baixa do ativo imobilizado e intangível</t>
  </si>
  <si>
    <t>Constituição (reversão) de provisão para contingências</t>
  </si>
  <si>
    <t>Resultado com derivativos</t>
  </si>
  <si>
    <t>Rendimentos de aplicações financeiras</t>
  </si>
  <si>
    <t>Despesas financeiras líquidas</t>
  </si>
  <si>
    <t>Provisão para IR e CSLL corrente e diferido</t>
  </si>
  <si>
    <t>Variação nos ativos e passivos operacionais</t>
  </si>
  <si>
    <t>Contas a receber</t>
  </si>
  <si>
    <t>Impostos parcelados</t>
  </si>
  <si>
    <t>Imposto de renda e contribuição social pagos</t>
  </si>
  <si>
    <t>Juros pagos</t>
  </si>
  <si>
    <t>Caixa líquido gerado pelas atividades operacionais</t>
  </si>
  <si>
    <t>Fluxo de caixa das atividades de investimento</t>
  </si>
  <si>
    <t>Aquisição de intangíveis</t>
  </si>
  <si>
    <t>Aplicações financeiras realizadas, líquido de resgastes</t>
  </si>
  <si>
    <t>Caixa líquido aplicado nas atividades de investimento</t>
  </si>
  <si>
    <t>Fluxo de caixa das atividades de financiamento</t>
  </si>
  <si>
    <t>Captação de empréstimos e financiamentos</t>
  </si>
  <si>
    <t xml:space="preserve">Pagamentos de empréstimos e financiamentos </t>
  </si>
  <si>
    <t>Pagamentos de arrendamentos</t>
  </si>
  <si>
    <t>Liquidação de derivativos</t>
  </si>
  <si>
    <t>Caixa e equivalentes de caixa no início do exercício</t>
  </si>
  <si>
    <t>Caixa e equivalentes de caixa no final do exercício</t>
  </si>
  <si>
    <t>Margem EBITDA (%)</t>
  </si>
  <si>
    <t>Resultado financeiro</t>
  </si>
  <si>
    <t>Imposto de renda e contribuição social</t>
  </si>
  <si>
    <t>Dívida de curto prazo</t>
  </si>
  <si>
    <t>Dívida de longo prazo</t>
  </si>
  <si>
    <t>Dívida total</t>
  </si>
  <si>
    <t>Dívida líquida</t>
  </si>
  <si>
    <t>EBITDA (R$ Mil)</t>
  </si>
  <si>
    <t>Depreciação e Amortização</t>
  </si>
  <si>
    <t>Outros custos</t>
  </si>
  <si>
    <t>1Q20</t>
  </si>
  <si>
    <t>1Q21</t>
  </si>
  <si>
    <t>Operational Indicators</t>
  </si>
  <si>
    <t>Gross Revenue</t>
  </si>
  <si>
    <t>Out-of-pocket patients</t>
  </si>
  <si>
    <t>Other revenues</t>
  </si>
  <si>
    <t>Net revenue</t>
  </si>
  <si>
    <t>Cost of services provided</t>
  </si>
  <si>
    <t>Personnel</t>
  </si>
  <si>
    <t>Maintenance and conservation</t>
  </si>
  <si>
    <t>Depreciation and amortization</t>
  </si>
  <si>
    <t>Other costs</t>
  </si>
  <si>
    <t>Gross Profit</t>
  </si>
  <si>
    <t>General and administrative expenses</t>
  </si>
  <si>
    <t>Other expenses</t>
  </si>
  <si>
    <t>Financial revenues</t>
  </si>
  <si>
    <t>Financial expenses</t>
  </si>
  <si>
    <t>Net financial result</t>
  </si>
  <si>
    <t>Income Tax and Social Contribution</t>
  </si>
  <si>
    <t>Net income</t>
  </si>
  <si>
    <t>EBITDA (R$ Thousands)</t>
  </si>
  <si>
    <t>EBITDA Margin (%)</t>
  </si>
  <si>
    <t>Adjusted EBITDA</t>
  </si>
  <si>
    <t>Adjusted EBITDA Margin (%)</t>
  </si>
  <si>
    <t>Financial result</t>
  </si>
  <si>
    <t>Assets</t>
  </si>
  <si>
    <t>Current</t>
  </si>
  <si>
    <t>Cash and cash equivalents</t>
  </si>
  <si>
    <t>Accounts receivable</t>
  </si>
  <si>
    <t>Inventories</t>
  </si>
  <si>
    <t>Derivatives</t>
  </si>
  <si>
    <t>Other current assets</t>
  </si>
  <si>
    <t>Total current assets</t>
  </si>
  <si>
    <t>Non-current</t>
  </si>
  <si>
    <t>Judicial deposits</t>
  </si>
  <si>
    <t>Deferred taxes</t>
  </si>
  <si>
    <t>Investment properties</t>
  </si>
  <si>
    <t>Total non-current assets</t>
  </si>
  <si>
    <t>Total assets</t>
  </si>
  <si>
    <t>Liabilities</t>
  </si>
  <si>
    <t>Suppliers</t>
  </si>
  <si>
    <t>Salaries and social charges</t>
  </si>
  <si>
    <t>Tax installments</t>
  </si>
  <si>
    <t>Dividends payable</t>
  </si>
  <si>
    <t>Other current liabilities</t>
  </si>
  <si>
    <t>Total current liabilities</t>
  </si>
  <si>
    <t>Loans and financing</t>
  </si>
  <si>
    <t>Provision for contingencies</t>
  </si>
  <si>
    <t>Other non-current liabilities</t>
  </si>
  <si>
    <t>Total non-current liabilities</t>
  </si>
  <si>
    <t>Share capital</t>
  </si>
  <si>
    <t>(-) Treasury shares</t>
  </si>
  <si>
    <t>Total liabilities</t>
  </si>
  <si>
    <t>Shareholders' equity</t>
  </si>
  <si>
    <t>Total shareholders' equity</t>
  </si>
  <si>
    <t>Cash flow from operating activities</t>
  </si>
  <si>
    <t>Adjustments to reconcile net income to cash from operations</t>
  </si>
  <si>
    <t>Derivative income</t>
  </si>
  <si>
    <t>Net financial expenses</t>
  </si>
  <si>
    <t>Change in operating assets and liabilities</t>
  </si>
  <si>
    <t>Other assets</t>
  </si>
  <si>
    <t>Taxes and contributions payable</t>
  </si>
  <si>
    <t>Other liabilities</t>
  </si>
  <si>
    <t>Income tax and Social Contribution paid</t>
  </si>
  <si>
    <t>Interest paid</t>
  </si>
  <si>
    <t>Net cash generated by operating activities</t>
  </si>
  <si>
    <t>Cash flow from investing activities</t>
  </si>
  <si>
    <t>Acquisition of intangible assets</t>
  </si>
  <si>
    <t>Net cash used in investing activities</t>
  </si>
  <si>
    <t>Cash flow from financing activities</t>
  </si>
  <si>
    <t>Lease payments</t>
  </si>
  <si>
    <t>Dividends paid</t>
  </si>
  <si>
    <t>INCREASE (DECREASE) IN CASH AND CASH EQUIVALENTS</t>
  </si>
  <si>
    <t>Cash and cash equivalents at the beginning of the period</t>
  </si>
  <si>
    <t>Cash and cash equivalents at the end of the period</t>
  </si>
  <si>
    <t>Debt (R$ Millions)</t>
  </si>
  <si>
    <t>Total debt</t>
  </si>
  <si>
    <t>Net debt</t>
  </si>
  <si>
    <t>Relações com Investidores</t>
  </si>
  <si>
    <t>E-mail para dúvidas: ri@materdei.com.br</t>
  </si>
  <si>
    <t>Total IR e CSLL</t>
  </si>
  <si>
    <t>Receita líquida</t>
  </si>
  <si>
    <t>% margem bruta</t>
  </si>
  <si>
    <t>% margem líquida</t>
  </si>
  <si>
    <t>Investor Relations</t>
  </si>
  <si>
    <t>E-mail for questions: ri@materdei.com.br</t>
  </si>
  <si>
    <t>% gross margin</t>
  </si>
  <si>
    <t>% net margin</t>
  </si>
  <si>
    <t>Other operating income (expenses)</t>
  </si>
  <si>
    <t>Short-term Investments</t>
  </si>
  <si>
    <t>Long-term investments</t>
  </si>
  <si>
    <t>Intangible assets</t>
  </si>
  <si>
    <t>AUMENTO (REDUÇÃO) DE CAIXA E EQUIVALENTES DE CAIXA</t>
  </si>
  <si>
    <t>Caixa líquido gerado (aplicado) nas atividades de financiamento</t>
  </si>
  <si>
    <t>Lucro líquido do período</t>
  </si>
  <si>
    <t>Leitos operacionais (AoP)</t>
  </si>
  <si>
    <t>Leitos utilizados (AoP)</t>
  </si>
  <si>
    <t>2T21</t>
  </si>
  <si>
    <t>2T20</t>
  </si>
  <si>
    <t>Aumento de capital</t>
  </si>
  <si>
    <t>2Q20</t>
  </si>
  <si>
    <t>2Q21</t>
  </si>
  <si>
    <t>12/31/2018</t>
  </si>
  <si>
    <t>12/31/2019</t>
  </si>
  <si>
    <t>12/31/2020</t>
  </si>
  <si>
    <t>03/31/2020</t>
  </si>
  <si>
    <t>03/31/2021</t>
  </si>
  <si>
    <t>06/30/2020</t>
  </si>
  <si>
    <t>06/30/2021</t>
  </si>
  <si>
    <t>Construction Reimbursement</t>
  </si>
  <si>
    <t>Capital reserves</t>
  </si>
  <si>
    <t>Share-Based Payment provision</t>
  </si>
  <si>
    <t>Capital increase</t>
  </si>
  <si>
    <t>Operational beds (AoP)</t>
  </si>
  <si>
    <t>Capacity (EoP)</t>
  </si>
  <si>
    <t>Capacidade (EoP)</t>
  </si>
  <si>
    <t>Used beds (AoP)</t>
  </si>
  <si>
    <t>Occupancy rate (AoP)</t>
  </si>
  <si>
    <t>Average ticket* (R$ Millions per used bed)</t>
  </si>
  <si>
    <t xml:space="preserve">* Occupancy rate is calculated according to ANAHP’s (National Association of Private Hospitals) methodology, considering only as occupied beds the ones used by overnight patients; </t>
  </si>
  <si>
    <t>** For quarters, the gross revenue is annualized</t>
  </si>
  <si>
    <t>Healthcare operators</t>
  </si>
  <si>
    <t>Taxes and deductions</t>
  </si>
  <si>
    <t>Medical supplies and Drugs</t>
  </si>
  <si>
    <t>Medical services</t>
  </si>
  <si>
    <t>EBIT</t>
  </si>
  <si>
    <t>EBT</t>
  </si>
  <si>
    <t>Stock options</t>
  </si>
  <si>
    <t>EBITDA ajustado</t>
  </si>
  <si>
    <t>Margem EBITDA ajustado (%)</t>
  </si>
  <si>
    <t>Construction assets to be deployed</t>
  </si>
  <si>
    <t>Right-of-use</t>
  </si>
  <si>
    <t>Leasing</t>
  </si>
  <si>
    <t>Short term debt</t>
  </si>
  <si>
    <t>Long term debt</t>
  </si>
  <si>
    <t>Cash, cash equivalents and short-term investments</t>
  </si>
  <si>
    <t>Caixa, equivalentes de caixa e aplicações financeiras</t>
  </si>
  <si>
    <t>Net income of the period</t>
  </si>
  <si>
    <t>Write-off of fixed and intangible assets</t>
  </si>
  <si>
    <t>Establishment (reversal) of provision for contingencies</t>
  </si>
  <si>
    <t>Yields from investments</t>
  </si>
  <si>
    <t>Provision for income tax and social contribution - current &amp; deferred</t>
  </si>
  <si>
    <t>Salaries and social contribution charges</t>
  </si>
  <si>
    <t>Acquisition of property and equipment (Fixed assets)</t>
  </si>
  <si>
    <t>Property and Equipment (Fixed assets)</t>
  </si>
  <si>
    <t>Financial investments made, net of redemptions</t>
  </si>
  <si>
    <t>Payment of loans and financing</t>
  </si>
  <si>
    <t>Derivatives settlement</t>
  </si>
  <si>
    <t>Net cash generated (used) in financing activities</t>
  </si>
  <si>
    <t>Prestação de serviços médicos</t>
  </si>
  <si>
    <t xml:space="preserve">Outras receitas (despesas) operacionais </t>
  </si>
  <si>
    <t>Arrendamento mercantil</t>
  </si>
  <si>
    <t>Provisão pagamento baseado em ações</t>
  </si>
  <si>
    <t>3T21</t>
  </si>
  <si>
    <t>3T20</t>
  </si>
  <si>
    <t>Establishment (reversal) of allowance for doubtful debts</t>
  </si>
  <si>
    <t>Constituição (reversão) de provisão para glosas</t>
  </si>
  <si>
    <t>Constituição (reversão) de provisão para créditos de liquidação duvidosa</t>
  </si>
  <si>
    <t>3Q20</t>
  </si>
  <si>
    <t>09/30/2020</t>
  </si>
  <si>
    <t>09/30/2021</t>
  </si>
  <si>
    <t>3Q21</t>
  </si>
  <si>
    <t>(-) Ações em tesouraria</t>
  </si>
  <si>
    <t>4T20</t>
  </si>
  <si>
    <t>4T21</t>
  </si>
  <si>
    <t>Contas a pagar aquisição de empresas</t>
  </si>
  <si>
    <t>Passivo de resgate</t>
  </si>
  <si>
    <t>Participação dos acionistas não controladores</t>
  </si>
  <si>
    <t>Balanço Patrimonial (R$ Mil) - Consolidado</t>
  </si>
  <si>
    <t>Demonstração do Resultado do Exercício (R$ Mil) - Consolidado</t>
  </si>
  <si>
    <t>Resultado de equivalência patrimonial</t>
  </si>
  <si>
    <t>Aquisição de investimentos</t>
  </si>
  <si>
    <t>Lucro líquido Ajustado</t>
  </si>
  <si>
    <t>4Q20</t>
  </si>
  <si>
    <t>4Q21</t>
  </si>
  <si>
    <t>Income Statement (R$ Thousands) - Consolidated</t>
  </si>
  <si>
    <t/>
  </si>
  <si>
    <t>Adjusted Net income</t>
  </si>
  <si>
    <t>Balance Sheet (R$ Thousands) - Consolidated</t>
  </si>
  <si>
    <t>12/31/2021</t>
  </si>
  <si>
    <t>Accounts payable of company acquisition</t>
  </si>
  <si>
    <t>Redemption liability</t>
  </si>
  <si>
    <t>Share of noncontrolling shareholders</t>
  </si>
  <si>
    <t>Cash flow (R$ Thousands) - Controlling</t>
  </si>
  <si>
    <t>Equity pickup gains</t>
  </si>
  <si>
    <t>Investment acquisition</t>
  </si>
  <si>
    <r>
      <t>Emprés</t>
    </r>
    <r>
      <rPr>
        <sz val="11"/>
        <color theme="1"/>
        <rFont val="Calibri"/>
        <family val="2"/>
        <scheme val="minor"/>
      </rPr>
      <t>timos, financiamentos e debêntures</t>
    </r>
  </si>
  <si>
    <t>Stock options¹</t>
  </si>
  <si>
    <t>¹ajustes estão líquidos de IR/CSLL à alíquota de 34%</t>
  </si>
  <si>
    <t>Loans, financing and debenture</t>
  </si>
  <si>
    <t>¹adjustments are net of income tax at the rate of 34%</t>
  </si>
  <si>
    <t>Assessoria M&amp;A</t>
  </si>
  <si>
    <t>Pré-operacional Salvador</t>
  </si>
  <si>
    <t>Assessoria M&amp;A¹</t>
  </si>
  <si>
    <t>Pré-operacional Salvador¹</t>
  </si>
  <si>
    <t>1T22</t>
  </si>
  <si>
    <t>1Q22</t>
  </si>
  <si>
    <t>% adjusted net margin</t>
  </si>
  <si>
    <t>% margem líquida ajustada</t>
  </si>
  <si>
    <t>M&amp;A advisory</t>
  </si>
  <si>
    <t>Salvador's pre-operating</t>
  </si>
  <si>
    <t>03/31/2022</t>
  </si>
  <si>
    <t>M&amp;A advisory¹</t>
  </si>
  <si>
    <t>Salvador's pre-operating¹</t>
  </si>
  <si>
    <t>Atribuível aos acionistas controladores</t>
  </si>
  <si>
    <t>Acionistas não controladores</t>
  </si>
  <si>
    <t>Fluxo de Caixa (R$ Mil)</t>
  </si>
  <si>
    <t>Net income attributed to controlling partners</t>
  </si>
  <si>
    <t>Net income attributed to noncontrolling partners</t>
  </si>
  <si>
    <t>Establishment (reversal) of provision for disallowances</t>
  </si>
  <si>
    <t>Developments with construction to be deployed</t>
  </si>
  <si>
    <t>Controlled consolidation of initial cash</t>
  </si>
  <si>
    <t>2T22</t>
  </si>
  <si>
    <t>Lucro líquido Ajustado (R$ Mil)</t>
  </si>
  <si>
    <t>Lucro líquido Ajustado Acumulado</t>
  </si>
  <si>
    <t>EBITDA ajustado Acumulado</t>
  </si>
  <si>
    <t>2Q22</t>
  </si>
  <si>
    <t>Adjusted net income (R$ Mil)</t>
  </si>
  <si>
    <t>Adjusted Net income YTD</t>
  </si>
  <si>
    <t>Adjusted EBITDA YTD</t>
  </si>
  <si>
    <t>IR diferido (ágio de aquisições)</t>
  </si>
  <si>
    <t>Deferred Income tax (goodwill)</t>
  </si>
  <si>
    <t>3T22</t>
  </si>
  <si>
    <t>3Q22</t>
  </si>
  <si>
    <t>09/30/2022</t>
  </si>
  <si>
    <t xml:space="preserve"> </t>
  </si>
  <si>
    <t>IR e CSLL Diferidos</t>
  </si>
  <si>
    <t>Reservas de lucros</t>
  </si>
  <si>
    <t>Income reserves</t>
  </si>
  <si>
    <t>Swap</t>
  </si>
  <si>
    <t>Deffered taxes</t>
  </si>
  <si>
    <t>Equity valuation adjustment</t>
  </si>
  <si>
    <t>4T22</t>
  </si>
  <si>
    <t>Outros ativos não circulantes</t>
  </si>
  <si>
    <t>Ações em tesouraria</t>
  </si>
  <si>
    <t>12/31/2022</t>
  </si>
  <si>
    <t>4Q22</t>
  </si>
  <si>
    <t>Other non-current assets</t>
  </si>
  <si>
    <t>Treasury shares</t>
  </si>
  <si>
    <t>1T23</t>
  </si>
  <si>
    <t>Instrumentos financeiros derivativos</t>
  </si>
  <si>
    <t>Ticket médio (R$ Milhões por leito utilizado)</t>
  </si>
  <si>
    <t>1Q23</t>
  </si>
  <si>
    <t>03/31/2023</t>
  </si>
  <si>
    <t>2T23</t>
  </si>
  <si>
    <t>2Q23</t>
  </si>
  <si>
    <t>06/30/2023</t>
  </si>
  <si>
    <t>3T23</t>
  </si>
  <si>
    <t>3Q23</t>
  </si>
  <si>
    <t>09/30/2023</t>
  </si>
  <si>
    <t>Materiais e Medicamentos</t>
  </si>
  <si>
    <t>4T23</t>
  </si>
  <si>
    <t>Endividamento Financeiro (R$ Mil)</t>
  </si>
  <si>
    <t>Impostos, deduções e glosas¹</t>
  </si>
  <si>
    <t>1. Abertura de glosas a partir do 1T22, em periodo anterior a Receita Bruta se encontrava líquida de glosas</t>
  </si>
  <si>
    <t>4Q23</t>
  </si>
  <si>
    <t>12/31/2023</t>
  </si>
  <si>
    <t>1T24</t>
  </si>
  <si>
    <t>1Q24</t>
  </si>
  <si>
    <t>03/31/2024</t>
  </si>
  <si>
    <t>Aporte de capital e AFAC</t>
  </si>
  <si>
    <t>Advance for future capital increase</t>
  </si>
  <si>
    <t>2T24</t>
  </si>
  <si>
    <t>Ativo disponível para venda</t>
  </si>
  <si>
    <t>Passivo disponível para venda</t>
  </si>
  <si>
    <t>Imparidade de ativos - CPC 31</t>
  </si>
  <si>
    <t>Constituição de parcelamento de impostos</t>
  </si>
  <si>
    <t>Pré-operacional Nova Lima</t>
  </si>
  <si>
    <t>06/30/2024</t>
  </si>
  <si>
    <t>Impairment of assets</t>
  </si>
  <si>
    <t>2Q24</t>
  </si>
  <si>
    <t>Nova Limas's pre-operating¹</t>
  </si>
  <si>
    <t>Pré-operacional Nova Lima¹</t>
  </si>
  <si>
    <t>Nova Limas's pre-operating</t>
  </si>
  <si>
    <t>Available-for-sale assets</t>
  </si>
  <si>
    <t>Available-for-sale liabilities</t>
  </si>
  <si>
    <t>Losses on impairment of assets</t>
  </si>
  <si>
    <t xml:space="preserve">Recognition of deferred tax </t>
  </si>
  <si>
    <t>3T24</t>
  </si>
  <si>
    <t>3Q24</t>
  </si>
  <si>
    <t>09/30/2024</t>
  </si>
  <si>
    <t>Reversão de contigências</t>
  </si>
  <si>
    <t>Contingencies reversal</t>
  </si>
  <si>
    <t>Variação das contas operacionais de ativo alienado</t>
  </si>
  <si>
    <t>Change in operational accounts of sold assets</t>
  </si>
  <si>
    <t>Alienação de investimentos</t>
  </si>
  <si>
    <t>Investment sold</t>
  </si>
  <si>
    <t>Reversão de contingências</t>
  </si>
  <si>
    <t>Passivo de resgate de ações</t>
  </si>
  <si>
    <t>Perda por imparidade dos ativos</t>
  </si>
  <si>
    <t>4T24</t>
  </si>
  <si>
    <t>4Q24</t>
  </si>
  <si>
    <t>12/31/2024</t>
  </si>
  <si>
    <t>Caixa adquirido (alienado) de combinação (desinvestimento) de negócios</t>
  </si>
  <si>
    <t>Aporte de capital realizado por minoritários</t>
  </si>
  <si>
    <t>Investment acquisition of noncontrolling shareholders</t>
  </si>
  <si>
    <t>1T25</t>
  </si>
  <si>
    <t>1Q25</t>
  </si>
  <si>
    <t>03/31/2025</t>
  </si>
  <si>
    <t>2T25</t>
  </si>
  <si>
    <t>Dividendos pagos/recebidos</t>
  </si>
  <si>
    <t>06/30/2025</t>
  </si>
  <si>
    <t>2Q25</t>
  </si>
  <si>
    <t>3T25</t>
  </si>
  <si>
    <t>3Q25</t>
  </si>
  <si>
    <t>09/30/2025</t>
  </si>
  <si>
    <t>Aquisição de participação minoritária de controlada</t>
  </si>
  <si>
    <t>4T25</t>
  </si>
  <si>
    <t>Acquisition of non-controlling interest in subsidiary</t>
  </si>
  <si>
    <t>4Q25</t>
  </si>
  <si>
    <t>1T26</t>
  </si>
  <si>
    <t>Provisão Complementar de PLR</t>
  </si>
  <si>
    <t>1Q26</t>
  </si>
  <si>
    <t>Reserva de capital e Lucros Acumulados</t>
  </si>
  <si>
    <t>Supplementary Provision for PS</t>
  </si>
  <si>
    <t>2T26</t>
  </si>
  <si>
    <t>6M26</t>
  </si>
  <si>
    <t>V</t>
  </si>
  <si>
    <t>31/06/2026</t>
  </si>
  <si>
    <t>Taxa de ocupação operacional (AoP)</t>
  </si>
  <si>
    <t>2Q26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</si>
</sst>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2" formatCode="_-&quot;R$&quot;\ * #,##0_-;\-&quot;R$&quot;\ * #,##0_-;_-&quot;R$&quot;\ * &quot;-&quot;_-;_-@_-"/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%"/>
    <numFmt numFmtId="165" formatCode="_-* #,##0.0_-;\-* #,##0.0_-;_-* &quot;-&quot;?_-;_-@_-"/>
    <numFmt numFmtId="166" formatCode="_-* #,##0_-;\(#,##0\);_-* &quot;-&quot;??_-;_-@_-"/>
    <numFmt numFmtId="167" formatCode="#,##0;\(#,##0\);\-"/>
    <numFmt numFmtId="168" formatCode="_-* #,##0.00\ _€_-;\-* #,##0.00\ _€_-;_-* &quot;-&quot;??\ _€_-;_-@_-"/>
    <numFmt numFmtId="169" formatCode="_-* #,##0.00\ &quot;€&quot;_-;\-* #,##0.00\ &quot;€&quot;_-;_-* &quot;-&quot;??\ &quot;€&quot;_-;_-@_-"/>
    <numFmt numFmtId="170" formatCode="_-* #,##0.00\ [$€]_-;\-* #,##0.00\ [$€]_-;_-* &quot;-&quot;??\ [$€]_-;_-@_-"/>
    <numFmt numFmtId="171" formatCode="_(&quot;R$ &quot;* #,##0.00_);_(&quot;R$ &quot;* \(#,##0.00\);_(&quot;R$ &quot;* &quot;-&quot;??_);_(@_)"/>
    <numFmt numFmtId="172" formatCode="_ * #,##0.00_ ;_ * \-#,##0.00_ ;_ * &quot;-&quot;??_ ;_ @_ "/>
    <numFmt numFmtId="173" formatCode="#,##0.000"/>
    <numFmt numFmtId="174" formatCode="0.0"/>
  </numFmts>
  <fonts count="7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2"/>
      <color rgb="FF1E83C7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Czcionka tekstu podstawowego"/>
      <family val="2"/>
      <charset val="238"/>
    </font>
    <font>
      <sz val="11"/>
      <color rgb="FFFFFFFF"/>
      <name val="Calibri"/>
      <family val="2"/>
      <scheme val="minor"/>
    </font>
    <font>
      <sz val="10"/>
      <color theme="0"/>
      <name val="Arial"/>
      <family val="2"/>
    </font>
    <font>
      <sz val="11"/>
      <color rgb="FFFFFFFF"/>
      <name val="Czcionka tekstu podstawowego"/>
      <family val="2"/>
      <charset val="238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1"/>
      <color rgb="FF333399"/>
      <name val="Czcionka tekstu podstawowego"/>
      <family val="2"/>
      <charset val="238"/>
    </font>
    <font>
      <b/>
      <sz val="11"/>
      <color rgb="FF333333"/>
      <name val="Czcionka tekstu podstawowego"/>
      <family val="2"/>
      <charset val="238"/>
    </font>
    <font>
      <sz val="11"/>
      <color rgb="FF008000"/>
      <name val="Czcionka tekstu podstawowego"/>
      <family val="2"/>
      <charset val="238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9"/>
      <color theme="10"/>
      <name val="Arial"/>
      <family val="2"/>
    </font>
    <font>
      <u/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sz val="10"/>
      <color rgb="FF3F3F76"/>
      <name val="Arial"/>
      <family val="2"/>
    </font>
    <font>
      <sz val="11"/>
      <color rgb="FFFF9900"/>
      <name val="Czcionka tekstu podstawowego"/>
      <family val="2"/>
      <charset val="238"/>
    </font>
    <font>
      <b/>
      <sz val="11"/>
      <color rgb="FFFFFFFF"/>
      <name val="Czcionka tekstu podstawowego"/>
      <family val="2"/>
      <charset val="238"/>
    </font>
    <font>
      <sz val="10"/>
      <color rgb="FFFA7D00"/>
      <name val="Arial"/>
      <family val="2"/>
    </font>
    <font>
      <b/>
      <sz val="15"/>
      <color rgb="FF003366"/>
      <name val="Czcionka tekstu podstawowego"/>
      <family val="2"/>
      <charset val="238"/>
    </font>
    <font>
      <b/>
      <sz val="13"/>
      <color rgb="FF003366"/>
      <name val="Czcionka tekstu podstawowego"/>
      <family val="2"/>
      <charset val="238"/>
    </font>
    <font>
      <b/>
      <sz val="11"/>
      <color rgb="FF003366"/>
      <name val="Czcionka tekstu podstawowego"/>
      <family val="2"/>
      <charset val="238"/>
    </font>
    <font>
      <sz val="10"/>
      <color rgb="FF9C6500"/>
      <name val="Arial"/>
      <family val="2"/>
    </font>
    <font>
      <sz val="11"/>
      <color rgb="FF993300"/>
      <name val="Czcionka tekstu podstawowego"/>
      <family val="2"/>
      <charset val="238"/>
    </font>
    <font>
      <sz val="10"/>
      <color rgb="FF000000"/>
      <name val="Geneva"/>
    </font>
    <font>
      <sz val="10"/>
      <color theme="1"/>
      <name val="Calibri"/>
      <family val="2"/>
      <scheme val="minor"/>
    </font>
    <font>
      <sz val="10"/>
      <color indexed="0"/>
      <name val="Arial"/>
      <family val="2"/>
    </font>
    <font>
      <sz val="11"/>
      <color theme="1"/>
      <name val="Trebuchet MS"/>
      <family val="2"/>
    </font>
    <font>
      <b/>
      <sz val="11"/>
      <color rgb="FFFF9900"/>
      <name val="Czcionka tekstu podstawowego"/>
      <family val="2"/>
      <charset val="238"/>
    </font>
    <font>
      <b/>
      <sz val="10"/>
      <color rgb="FF3F3F3F"/>
      <name val="Arial"/>
      <family val="2"/>
    </font>
    <font>
      <b/>
      <i/>
      <strike/>
      <u/>
      <sz val="10"/>
      <color indexed="0"/>
      <name val="Arial"/>
      <family val="2"/>
    </font>
    <font>
      <b/>
      <sz val="11"/>
      <color rgb="FF000000"/>
      <name val="Czcionka tekstu podstawowego"/>
      <family val="2"/>
      <charset val="238"/>
    </font>
    <font>
      <i/>
      <sz val="11"/>
      <color rgb="FF80808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5"/>
      <color indexed="62"/>
      <name val="Calibri"/>
      <family val="2"/>
    </font>
    <font>
      <b/>
      <sz val="18"/>
      <color rgb="FF003366"/>
      <name val="Cambria"/>
      <family val="2"/>
      <charset val="238"/>
    </font>
    <font>
      <sz val="12"/>
      <color indexed="12"/>
      <name val="Arial"/>
      <family val="2"/>
    </font>
    <font>
      <sz val="10"/>
      <color rgb="FFFF0000"/>
      <name val="Arial"/>
      <family val="2"/>
    </font>
    <font>
      <sz val="11"/>
      <color rgb="FF800080"/>
      <name val="Czcionka tekstu podstawowego"/>
      <family val="2"/>
      <charset val="238"/>
    </font>
    <font>
      <sz val="12"/>
      <color theme="1"/>
      <name val="Calibri"/>
      <family val="2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6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</patternFill>
    </fill>
    <fill>
      <patternFill patternType="solid">
        <fgColor rgb="FF198F8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</patternFill>
    </fill>
    <fill>
      <patternFill patternType="solid">
        <fgColor rgb="FFFF99CC"/>
      </patternFill>
    </fill>
    <fill>
      <patternFill patternType="solid">
        <fgColor rgb="FFCCFFCC"/>
      </patternFill>
    </fill>
    <fill>
      <patternFill patternType="solid">
        <fgColor rgb="FFCC99FF"/>
      </patternFill>
    </fill>
    <fill>
      <patternFill patternType="solid">
        <fgColor rgb="FFCCFFFF"/>
      </patternFill>
    </fill>
    <fill>
      <patternFill patternType="solid">
        <fgColor rgb="FFDBE5F1"/>
      </patternFill>
    </fill>
    <fill>
      <patternFill patternType="solid">
        <fgColor rgb="FFF2DB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B8CCE4"/>
      </patternFill>
    </fill>
    <fill>
      <patternFill patternType="solid">
        <fgColor rgb="FFFF8080"/>
      </patternFill>
    </fill>
    <fill>
      <patternFill patternType="solid">
        <fgColor rgb="FF00FF00"/>
      </patternFill>
    </fill>
    <fill>
      <patternFill patternType="solid">
        <fgColor rgb="FF99CCFF"/>
      </patternFill>
    </fill>
    <fill>
      <patternFill patternType="solid">
        <fgColor rgb="FFFFCC00"/>
      </patternFill>
    </fill>
    <fill>
      <patternFill patternType="solid">
        <fgColor rgb="FFD6E3BC"/>
      </patternFill>
    </fill>
    <fill>
      <patternFill patternType="solid">
        <fgColor rgb="FF95B3D7"/>
      </patternFill>
    </fill>
    <fill>
      <patternFill patternType="solid">
        <fgColor rgb="FF0066CC"/>
      </patternFill>
    </fill>
    <fill>
      <patternFill patternType="solid">
        <fgColor rgb="FF800080"/>
      </patternFill>
    </fill>
    <fill>
      <patternFill patternType="solid">
        <fgColor rgb="FF33CCCC"/>
      </patternFill>
    </fill>
    <fill>
      <patternFill patternType="solid">
        <fgColor rgb="FFFF9900"/>
      </patternFill>
    </fill>
    <fill>
      <patternFill patternType="solid">
        <fgColor rgb="FFC2D69B"/>
      </patternFill>
    </fill>
    <fill>
      <patternFill patternType="solid">
        <fgColor rgb="FFB2A1C7"/>
      </patternFill>
    </fill>
    <fill>
      <patternFill patternType="solid">
        <fgColor rgb="FFFABF8F"/>
      </patternFill>
    </fill>
    <fill>
      <patternFill patternType="solid">
        <fgColor rgb="FF333399"/>
      </patternFill>
    </fill>
    <fill>
      <patternFill patternType="solid">
        <fgColor rgb="FFFF0000"/>
      </patternFill>
    </fill>
    <fill>
      <patternFill patternType="solid">
        <fgColor rgb="FF339966"/>
      </patternFill>
    </fill>
    <fill>
      <patternFill patternType="solid">
        <fgColor rgb="FFFF6600"/>
      </patternFill>
    </fill>
    <fill>
      <patternFill patternType="solid">
        <fgColor rgb="FFC0C0C0"/>
      </patternFill>
    </fill>
    <fill>
      <patternFill patternType="solid">
        <fgColor rgb="FF969696"/>
      </patternFill>
    </fill>
    <fill>
      <patternFill patternType="solid">
        <fgColor rgb="FFFFFF99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ck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indexed="6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D8D8D8"/>
      </top>
      <bottom style="thin">
        <color rgb="FFD8D8D8"/>
      </bottom>
      <diagonal/>
    </border>
  </borders>
  <cellStyleXfs count="49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15" fillId="0" borderId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2" fillId="0" borderId="0"/>
    <xf numFmtId="41" fontId="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" fillId="0" borderId="0"/>
    <xf numFmtId="0" fontId="16" fillId="0" borderId="0"/>
    <xf numFmtId="0" fontId="2" fillId="0" borderId="0"/>
    <xf numFmtId="43" fontId="2" fillId="0" borderId="0" applyFont="0" applyFill="0" applyBorder="0" applyAlignment="0" applyProtection="0"/>
    <xf numFmtId="0" fontId="19" fillId="0" borderId="0"/>
    <xf numFmtId="0" fontId="2" fillId="0" borderId="0"/>
    <xf numFmtId="0" fontId="4" fillId="0" borderId="0"/>
    <xf numFmtId="0" fontId="17" fillId="0" borderId="0"/>
    <xf numFmtId="168" fontId="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21" fillId="36" borderId="0"/>
    <xf numFmtId="0" fontId="21" fillId="37" borderId="0"/>
    <xf numFmtId="0" fontId="21" fillId="38" borderId="0"/>
    <xf numFmtId="0" fontId="21" fillId="39" borderId="0"/>
    <xf numFmtId="0" fontId="21" fillId="40" borderId="0"/>
    <xf numFmtId="0" fontId="21" fillId="8" borderId="0"/>
    <xf numFmtId="0" fontId="9" fillId="41" borderId="0"/>
    <xf numFmtId="0" fontId="9" fillId="41" borderId="0"/>
    <xf numFmtId="0" fontId="9" fillId="41" borderId="0"/>
    <xf numFmtId="0" fontId="9" fillId="41" borderId="0"/>
    <xf numFmtId="0" fontId="9" fillId="41" borderId="0"/>
    <xf numFmtId="0" fontId="9" fillId="41" borderId="0"/>
    <xf numFmtId="0" fontId="9" fillId="41" borderId="0"/>
    <xf numFmtId="0" fontId="9" fillId="41" borderId="0"/>
    <xf numFmtId="0" fontId="9" fillId="41" borderId="0"/>
    <xf numFmtId="0" fontId="9" fillId="41" borderId="0"/>
    <xf numFmtId="0" fontId="9" fillId="41" borderId="0"/>
    <xf numFmtId="0" fontId="9" fillId="41" borderId="0"/>
    <xf numFmtId="0" fontId="9" fillId="41" borderId="0"/>
    <xf numFmtId="0" fontId="9" fillId="41" borderId="0"/>
    <xf numFmtId="0" fontId="9" fillId="41" borderId="0"/>
    <xf numFmtId="0" fontId="9" fillId="41" borderId="0"/>
    <xf numFmtId="0" fontId="9" fillId="41" borderId="0"/>
    <xf numFmtId="0" fontId="9" fillId="41" borderId="0"/>
    <xf numFmtId="0" fontId="9" fillId="41" borderId="0"/>
    <xf numFmtId="0" fontId="9" fillId="41" borderId="0"/>
    <xf numFmtId="0" fontId="9" fillId="41" borderId="0"/>
    <xf numFmtId="0" fontId="9" fillId="42" borderId="0"/>
    <xf numFmtId="0" fontId="9" fillId="42" borderId="0"/>
    <xf numFmtId="0" fontId="9" fillId="42" borderId="0"/>
    <xf numFmtId="0" fontId="9" fillId="42" borderId="0"/>
    <xf numFmtId="0" fontId="9" fillId="42" borderId="0"/>
    <xf numFmtId="0" fontId="9" fillId="42" borderId="0"/>
    <xf numFmtId="0" fontId="9" fillId="42" borderId="0"/>
    <xf numFmtId="0" fontId="9" fillId="42" borderId="0"/>
    <xf numFmtId="0" fontId="9" fillId="42" borderId="0"/>
    <xf numFmtId="0" fontId="9" fillId="42" borderId="0"/>
    <xf numFmtId="0" fontId="9" fillId="42" borderId="0"/>
    <xf numFmtId="0" fontId="9" fillId="42" borderId="0"/>
    <xf numFmtId="0" fontId="9" fillId="42" borderId="0"/>
    <xf numFmtId="0" fontId="9" fillId="42" borderId="0"/>
    <xf numFmtId="0" fontId="9" fillId="42" borderId="0"/>
    <xf numFmtId="0" fontId="9" fillId="42" borderId="0"/>
    <xf numFmtId="0" fontId="9" fillId="42" borderId="0"/>
    <xf numFmtId="0" fontId="9" fillId="42" borderId="0"/>
    <xf numFmtId="0" fontId="9" fillId="42" borderId="0"/>
    <xf numFmtId="0" fontId="9" fillId="42" borderId="0"/>
    <xf numFmtId="0" fontId="9" fillId="42" borderId="0"/>
    <xf numFmtId="0" fontId="9" fillId="43" borderId="0"/>
    <xf numFmtId="0" fontId="9" fillId="43" borderId="0"/>
    <xf numFmtId="0" fontId="9" fillId="43" borderId="0"/>
    <xf numFmtId="0" fontId="9" fillId="43" borderId="0"/>
    <xf numFmtId="0" fontId="9" fillId="43" borderId="0"/>
    <xf numFmtId="0" fontId="9" fillId="43" borderId="0"/>
    <xf numFmtId="0" fontId="9" fillId="43" borderId="0"/>
    <xf numFmtId="0" fontId="9" fillId="43" borderId="0"/>
    <xf numFmtId="0" fontId="9" fillId="43" borderId="0"/>
    <xf numFmtId="0" fontId="9" fillId="43" borderId="0"/>
    <xf numFmtId="0" fontId="9" fillId="43" borderId="0"/>
    <xf numFmtId="0" fontId="9" fillId="43" borderId="0"/>
    <xf numFmtId="0" fontId="9" fillId="43" borderId="0"/>
    <xf numFmtId="0" fontId="9" fillId="43" borderId="0"/>
    <xf numFmtId="0" fontId="9" fillId="43" borderId="0"/>
    <xf numFmtId="0" fontId="9" fillId="43" borderId="0"/>
    <xf numFmtId="0" fontId="9" fillId="43" borderId="0"/>
    <xf numFmtId="0" fontId="9" fillId="43" borderId="0"/>
    <xf numFmtId="0" fontId="9" fillId="43" borderId="0"/>
    <xf numFmtId="0" fontId="9" fillId="43" borderId="0"/>
    <xf numFmtId="0" fontId="9" fillId="43" borderId="0"/>
    <xf numFmtId="0" fontId="9" fillId="44" borderId="0"/>
    <xf numFmtId="0" fontId="9" fillId="44" borderId="0"/>
    <xf numFmtId="0" fontId="9" fillId="44" borderId="0"/>
    <xf numFmtId="0" fontId="9" fillId="44" borderId="0"/>
    <xf numFmtId="0" fontId="9" fillId="44" borderId="0"/>
    <xf numFmtId="0" fontId="9" fillId="44" borderId="0"/>
    <xf numFmtId="0" fontId="9" fillId="44" borderId="0"/>
    <xf numFmtId="0" fontId="9" fillId="44" borderId="0"/>
    <xf numFmtId="0" fontId="9" fillId="44" borderId="0"/>
    <xf numFmtId="0" fontId="9" fillId="44" borderId="0"/>
    <xf numFmtId="0" fontId="9" fillId="44" borderId="0"/>
    <xf numFmtId="0" fontId="9" fillId="44" borderId="0"/>
    <xf numFmtId="0" fontId="9" fillId="44" borderId="0"/>
    <xf numFmtId="0" fontId="9" fillId="44" borderId="0"/>
    <xf numFmtId="0" fontId="9" fillId="44" borderId="0"/>
    <xf numFmtId="0" fontId="9" fillId="44" borderId="0"/>
    <xf numFmtId="0" fontId="9" fillId="44" borderId="0"/>
    <xf numFmtId="0" fontId="9" fillId="44" borderId="0"/>
    <xf numFmtId="0" fontId="9" fillId="44" borderId="0"/>
    <xf numFmtId="0" fontId="9" fillId="44" borderId="0"/>
    <xf numFmtId="0" fontId="9" fillId="44" borderId="0"/>
    <xf numFmtId="0" fontId="9" fillId="45" borderId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21" fillId="46" borderId="0"/>
    <xf numFmtId="0" fontId="21" fillId="47" borderId="0"/>
    <xf numFmtId="0" fontId="21" fillId="39" borderId="0"/>
    <xf numFmtId="0" fontId="21" fillId="48" borderId="0"/>
    <xf numFmtId="0" fontId="21" fillId="49" borderId="0"/>
    <xf numFmtId="0" fontId="9" fillId="50" borderId="0"/>
    <xf numFmtId="0" fontId="9" fillId="50" borderId="0"/>
    <xf numFmtId="0" fontId="9" fillId="50" borderId="0"/>
    <xf numFmtId="0" fontId="9" fillId="50" borderId="0"/>
    <xf numFmtId="0" fontId="9" fillId="50" borderId="0"/>
    <xf numFmtId="0" fontId="9" fillId="50" borderId="0"/>
    <xf numFmtId="0" fontId="9" fillId="50" borderId="0"/>
    <xf numFmtId="0" fontId="9" fillId="50" borderId="0"/>
    <xf numFmtId="0" fontId="9" fillId="50" borderId="0"/>
    <xf numFmtId="0" fontId="9" fillId="50" borderId="0"/>
    <xf numFmtId="0" fontId="9" fillId="50" borderId="0"/>
    <xf numFmtId="0" fontId="9" fillId="50" borderId="0"/>
    <xf numFmtId="0" fontId="9" fillId="50" borderId="0"/>
    <xf numFmtId="0" fontId="9" fillId="50" borderId="0"/>
    <xf numFmtId="0" fontId="9" fillId="50" borderId="0"/>
    <xf numFmtId="0" fontId="9" fillId="50" borderId="0"/>
    <xf numFmtId="0" fontId="9" fillId="50" borderId="0"/>
    <xf numFmtId="0" fontId="9" fillId="50" borderId="0"/>
    <xf numFmtId="0" fontId="9" fillId="50" borderId="0"/>
    <xf numFmtId="0" fontId="9" fillId="50" borderId="0"/>
    <xf numFmtId="0" fontId="9" fillId="50" borderId="0"/>
    <xf numFmtId="0" fontId="22" fillId="51" borderId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4" fillId="52" borderId="0"/>
    <xf numFmtId="0" fontId="24" fillId="46" borderId="0"/>
    <xf numFmtId="0" fontId="24" fillId="47" borderId="0"/>
    <xf numFmtId="0" fontId="24" fillId="53" borderId="0"/>
    <xf numFmtId="0" fontId="24" fillId="54" borderId="0"/>
    <xf numFmtId="0" fontId="24" fillId="55" borderId="0"/>
    <xf numFmtId="0" fontId="22" fillId="56" borderId="0"/>
    <xf numFmtId="0" fontId="22" fillId="56" borderId="0"/>
    <xf numFmtId="0" fontId="22" fillId="56" borderId="0"/>
    <xf numFmtId="0" fontId="22" fillId="56" borderId="0"/>
    <xf numFmtId="0" fontId="22" fillId="56" borderId="0"/>
    <xf numFmtId="0" fontId="22" fillId="56" borderId="0"/>
    <xf numFmtId="0" fontId="22" fillId="56" borderId="0"/>
    <xf numFmtId="0" fontId="22" fillId="56" borderId="0"/>
    <xf numFmtId="0" fontId="22" fillId="56" borderId="0"/>
    <xf numFmtId="0" fontId="22" fillId="56" borderId="0"/>
    <xf numFmtId="0" fontId="22" fillId="56" borderId="0"/>
    <xf numFmtId="0" fontId="22" fillId="56" borderId="0"/>
    <xf numFmtId="0" fontId="22" fillId="56" borderId="0"/>
    <xf numFmtId="0" fontId="22" fillId="56" borderId="0"/>
    <xf numFmtId="0" fontId="22" fillId="56" borderId="0"/>
    <xf numFmtId="0" fontId="22" fillId="56" borderId="0"/>
    <xf numFmtId="0" fontId="22" fillId="56" borderId="0"/>
    <xf numFmtId="0" fontId="22" fillId="56" borderId="0"/>
    <xf numFmtId="0" fontId="22" fillId="56" borderId="0"/>
    <xf numFmtId="0" fontId="22" fillId="56" borderId="0"/>
    <xf numFmtId="0" fontId="22" fillId="56" borderId="0"/>
    <xf numFmtId="0" fontId="22" fillId="57" borderId="0"/>
    <xf numFmtId="0" fontId="22" fillId="57" borderId="0"/>
    <xf numFmtId="0" fontId="22" fillId="57" borderId="0"/>
    <xf numFmtId="0" fontId="22" fillId="57" borderId="0"/>
    <xf numFmtId="0" fontId="22" fillId="57" borderId="0"/>
    <xf numFmtId="0" fontId="22" fillId="57" borderId="0"/>
    <xf numFmtId="0" fontId="22" fillId="57" borderId="0"/>
    <xf numFmtId="0" fontId="22" fillId="57" borderId="0"/>
    <xf numFmtId="0" fontId="22" fillId="57" borderId="0"/>
    <xf numFmtId="0" fontId="22" fillId="57" borderId="0"/>
    <xf numFmtId="0" fontId="22" fillId="57" borderId="0"/>
    <xf numFmtId="0" fontId="22" fillId="57" borderId="0"/>
    <xf numFmtId="0" fontId="22" fillId="57" borderId="0"/>
    <xf numFmtId="0" fontId="22" fillId="57" borderId="0"/>
    <xf numFmtId="0" fontId="22" fillId="57" borderId="0"/>
    <xf numFmtId="0" fontId="22" fillId="57" borderId="0"/>
    <xf numFmtId="0" fontId="22" fillId="57" borderId="0"/>
    <xf numFmtId="0" fontId="22" fillId="57" borderId="0"/>
    <xf numFmtId="0" fontId="22" fillId="57" borderId="0"/>
    <xf numFmtId="0" fontId="22" fillId="57" borderId="0"/>
    <xf numFmtId="0" fontId="22" fillId="57" borderId="0"/>
    <xf numFmtId="0" fontId="22" fillId="58" borderId="0"/>
    <xf numFmtId="0" fontId="22" fillId="58" borderId="0"/>
    <xf numFmtId="0" fontId="22" fillId="58" borderId="0"/>
    <xf numFmtId="0" fontId="22" fillId="58" borderId="0"/>
    <xf numFmtId="0" fontId="22" fillId="58" borderId="0"/>
    <xf numFmtId="0" fontId="22" fillId="58" borderId="0"/>
    <xf numFmtId="0" fontId="22" fillId="58" borderId="0"/>
    <xf numFmtId="0" fontId="22" fillId="58" borderId="0"/>
    <xf numFmtId="0" fontId="22" fillId="58" borderId="0"/>
    <xf numFmtId="0" fontId="22" fillId="58" borderId="0"/>
    <xf numFmtId="0" fontId="22" fillId="58" borderId="0"/>
    <xf numFmtId="0" fontId="22" fillId="58" borderId="0"/>
    <xf numFmtId="0" fontId="22" fillId="58" borderId="0"/>
    <xf numFmtId="0" fontId="22" fillId="58" borderId="0"/>
    <xf numFmtId="0" fontId="22" fillId="58" borderId="0"/>
    <xf numFmtId="0" fontId="22" fillId="58" borderId="0"/>
    <xf numFmtId="0" fontId="22" fillId="58" borderId="0"/>
    <xf numFmtId="0" fontId="22" fillId="58" borderId="0"/>
    <xf numFmtId="0" fontId="22" fillId="58" borderId="0"/>
    <xf numFmtId="0" fontId="22" fillId="58" borderId="0"/>
    <xf numFmtId="0" fontId="22" fillId="58" borderId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24" fillId="59" borderId="0"/>
    <xf numFmtId="0" fontId="24" fillId="60" borderId="0"/>
    <xf numFmtId="0" fontId="24" fillId="61" borderId="0"/>
    <xf numFmtId="0" fontId="24" fillId="53" borderId="0"/>
    <xf numFmtId="0" fontId="24" fillId="54" borderId="0"/>
    <xf numFmtId="0" fontId="24" fillId="62" borderId="0"/>
    <xf numFmtId="0" fontId="25" fillId="6" borderId="0" applyNumberFormat="0" applyBorder="0" applyAlignment="0" applyProtection="0"/>
    <xf numFmtId="0" fontId="26" fillId="9" borderId="8" applyNumberFormat="0" applyAlignment="0" applyProtection="0"/>
    <xf numFmtId="0" fontId="27" fillId="10" borderId="11" applyNumberFormat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/>
    <xf numFmtId="43" fontId="9" fillId="0" borderId="0"/>
    <xf numFmtId="43" fontId="9" fillId="0" borderId="0"/>
    <xf numFmtId="43" fontId="9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28" fillId="8" borderId="14"/>
    <xf numFmtId="0" fontId="29" fillId="63" borderId="15"/>
    <xf numFmtId="0" fontId="30" fillId="38" borderId="0"/>
    <xf numFmtId="170" fontId="20" fillId="0" borderId="0"/>
    <xf numFmtId="0" fontId="31" fillId="0" borderId="0" applyNumberFormat="0" applyFill="0" applyBorder="0" applyAlignment="0" applyProtection="0"/>
    <xf numFmtId="0" fontId="32" fillId="5" borderId="0" applyNumberFormat="0" applyBorder="0" applyAlignment="0" applyProtection="0"/>
    <xf numFmtId="0" fontId="33" fillId="0" borderId="5" applyNumberFormat="0" applyFill="0" applyAlignment="0" applyProtection="0"/>
    <xf numFmtId="0" fontId="34" fillId="0" borderId="6" applyNumberFormat="0" applyFill="0" applyAlignment="0" applyProtection="0"/>
    <xf numFmtId="0" fontId="35" fillId="0" borderId="7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8" borderId="8" applyNumberFormat="0" applyAlignment="0" applyProtection="0"/>
    <xf numFmtId="0" fontId="40" fillId="0" borderId="16"/>
    <xf numFmtId="0" fontId="41" fillId="64" borderId="17"/>
    <xf numFmtId="0" fontId="42" fillId="0" borderId="10" applyNumberFormat="0" applyFill="0" applyAlignment="0" applyProtection="0"/>
    <xf numFmtId="42" fontId="16" fillId="0" borderId="0" applyFont="0" applyFill="0" applyBorder="0" applyAlignment="0" applyProtection="0"/>
    <xf numFmtId="42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2" fillId="0" borderId="0" applyFont="0" applyFill="0" applyBorder="0" applyAlignment="0" applyProtection="0"/>
    <xf numFmtId="171" fontId="4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43" fillId="0" borderId="18"/>
    <xf numFmtId="0" fontId="44" fillId="0" borderId="19"/>
    <xf numFmtId="0" fontId="45" fillId="0" borderId="20"/>
    <xf numFmtId="0" fontId="45" fillId="0" borderId="0"/>
    <xf numFmtId="0" fontId="46" fillId="7" borderId="0" applyNumberFormat="0" applyBorder="0" applyAlignment="0" applyProtection="0"/>
    <xf numFmtId="0" fontId="47" fillId="65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37" fontId="48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7" fillId="0" borderId="0"/>
    <xf numFmtId="0" fontId="9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19" fillId="0" borderId="0"/>
    <xf numFmtId="0" fontId="4" fillId="0" borderId="0"/>
    <xf numFmtId="0" fontId="19" fillId="0" borderId="0"/>
    <xf numFmtId="0" fontId="20" fillId="0" borderId="0"/>
    <xf numFmtId="0" fontId="4" fillId="0" borderId="0"/>
    <xf numFmtId="0" fontId="5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11" borderId="12"/>
    <xf numFmtId="0" fontId="9" fillId="11" borderId="12"/>
    <xf numFmtId="0" fontId="9" fillId="11" borderId="12"/>
    <xf numFmtId="0" fontId="9" fillId="11" borderId="12"/>
    <xf numFmtId="0" fontId="9" fillId="11" borderId="12"/>
    <xf numFmtId="0" fontId="9" fillId="11" borderId="12"/>
    <xf numFmtId="0" fontId="9" fillId="11" borderId="12"/>
    <xf numFmtId="0" fontId="9" fillId="11" borderId="12"/>
    <xf numFmtId="0" fontId="9" fillId="11" borderId="12"/>
    <xf numFmtId="0" fontId="9" fillId="11" borderId="12"/>
    <xf numFmtId="0" fontId="9" fillId="11" borderId="12"/>
    <xf numFmtId="0" fontId="9" fillId="11" borderId="12"/>
    <xf numFmtId="0" fontId="9" fillId="11" borderId="12"/>
    <xf numFmtId="0" fontId="9" fillId="11" borderId="12"/>
    <xf numFmtId="0" fontId="9" fillId="11" borderId="12"/>
    <xf numFmtId="0" fontId="9" fillId="11" borderId="12"/>
    <xf numFmtId="0" fontId="9" fillId="11" borderId="12"/>
    <xf numFmtId="0" fontId="9" fillId="11" borderId="12"/>
    <xf numFmtId="0" fontId="9" fillId="11" borderId="12"/>
    <xf numFmtId="0" fontId="9" fillId="11" borderId="12"/>
    <xf numFmtId="0" fontId="9" fillId="11" borderId="12"/>
    <xf numFmtId="0" fontId="19" fillId="11" borderId="12" applyNumberFormat="0" applyFont="0" applyAlignment="0" applyProtection="0"/>
    <xf numFmtId="0" fontId="52" fillId="63" borderId="14"/>
    <xf numFmtId="0" fontId="53" fillId="9" borderId="9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quotePrefix="1" applyFont="0" applyFill="0" applyBorder="0" applyAlignment="0">
      <protection locked="0"/>
    </xf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7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5" fillId="0" borderId="21"/>
    <xf numFmtId="0" fontId="56" fillId="0" borderId="0"/>
    <xf numFmtId="0" fontId="57" fillId="0" borderId="0"/>
    <xf numFmtId="0" fontId="58" fillId="0" borderId="22" applyNumberFormat="0" applyFill="0" applyAlignment="0" applyProtection="0"/>
    <xf numFmtId="0" fontId="18" fillId="0" borderId="13" applyNumberFormat="0" applyFill="0" applyAlignment="0" applyProtection="0"/>
    <xf numFmtId="0" fontId="59" fillId="0" borderId="0"/>
    <xf numFmtId="37" fontId="60" fillId="0" borderId="0" applyFill="0">
      <protection locked="0"/>
    </xf>
    <xf numFmtId="0" fontId="21" fillId="11" borderId="23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1" fillId="0" borderId="0" applyNumberFormat="0" applyFill="0" applyBorder="0" applyAlignment="0" applyProtection="0"/>
    <xf numFmtId="0" fontId="62" fillId="37" borderId="0"/>
    <xf numFmtId="0" fontId="63" fillId="0" borderId="0"/>
    <xf numFmtId="0" fontId="4" fillId="0" borderId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5" fillId="0" borderId="0"/>
  </cellStyleXfs>
  <cellXfs count="101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/>
    <xf numFmtId="0" fontId="12" fillId="0" borderId="0" xfId="0" applyFont="1" applyAlignment="1">
      <alignment vertical="center"/>
    </xf>
    <xf numFmtId="3" fontId="0" fillId="0" borderId="2" xfId="0" applyNumberFormat="1" applyBorder="1" applyAlignment="1">
      <alignment vertical="center"/>
    </xf>
    <xf numFmtId="164" fontId="0" fillId="0" borderId="2" xfId="2" applyNumberFormat="1" applyFont="1" applyFill="1" applyBorder="1" applyAlignment="1">
      <alignment vertical="center"/>
    </xf>
    <xf numFmtId="4" fontId="0" fillId="0" borderId="2" xfId="0" applyNumberFormat="1" applyBorder="1" applyAlignment="1">
      <alignment vertical="center"/>
    </xf>
    <xf numFmtId="164" fontId="0" fillId="0" borderId="2" xfId="2" applyNumberFormat="1" applyFont="1" applyBorder="1" applyAlignment="1">
      <alignment vertical="center"/>
    </xf>
    <xf numFmtId="166" fontId="9" fillId="0" borderId="2" xfId="1" applyNumberFormat="1" applyFont="1" applyFill="1" applyBorder="1"/>
    <xf numFmtId="164" fontId="11" fillId="0" borderId="2" xfId="2" applyNumberFormat="1" applyFont="1" applyFill="1" applyBorder="1"/>
    <xf numFmtId="0" fontId="0" fillId="0" borderId="0" xfId="0" applyAlignment="1">
      <alignment horizontal="left" vertical="center"/>
    </xf>
    <xf numFmtId="0" fontId="3" fillId="0" borderId="3" xfId="0" applyFont="1" applyBorder="1"/>
    <xf numFmtId="0" fontId="0" fillId="0" borderId="3" xfId="0" applyBorder="1"/>
    <xf numFmtId="0" fontId="0" fillId="0" borderId="2" xfId="0" applyBorder="1" applyAlignment="1">
      <alignment horizontal="left" vertical="center" indent="1"/>
    </xf>
    <xf numFmtId="49" fontId="8" fillId="2" borderId="3" xfId="0" applyNumberFormat="1" applyFont="1" applyFill="1" applyBorder="1" applyAlignment="1">
      <alignment horizontal="left" vertical="center" indent="1"/>
    </xf>
    <xf numFmtId="49" fontId="9" fillId="3" borderId="2" xfId="0" applyNumberFormat="1" applyFont="1" applyFill="1" applyBorder="1" applyAlignment="1">
      <alignment horizontal="left" vertical="center" indent="2"/>
    </xf>
    <xf numFmtId="49" fontId="8" fillId="3" borderId="2" xfId="0" applyNumberFormat="1" applyFont="1" applyFill="1" applyBorder="1" applyAlignment="1">
      <alignment horizontal="left" vertical="center" indent="1"/>
    </xf>
    <xf numFmtId="49" fontId="8" fillId="2" borderId="2" xfId="0" applyNumberFormat="1" applyFont="1" applyFill="1" applyBorder="1" applyAlignment="1">
      <alignment horizontal="left" vertical="center" indent="1"/>
    </xf>
    <xf numFmtId="0" fontId="0" fillId="0" borderId="2" xfId="6" applyFont="1" applyBorder="1" applyAlignment="1">
      <alignment horizontal="left" indent="2"/>
    </xf>
    <xf numFmtId="49" fontId="11" fillId="0" borderId="2" xfId="0" applyNumberFormat="1" applyFont="1" applyBorder="1" applyAlignment="1">
      <alignment horizontal="left" vertical="center" indent="2"/>
    </xf>
    <xf numFmtId="0" fontId="3" fillId="2" borderId="3" xfId="0" applyFont="1" applyFill="1" applyBorder="1" applyAlignment="1">
      <alignment horizontal="left" vertical="center" wrapText="1" indent="1" readingOrder="1"/>
    </xf>
    <xf numFmtId="0" fontId="0" fillId="0" borderId="2" xfId="0" applyBorder="1" applyAlignment="1">
      <alignment horizontal="left" vertical="center" wrapText="1" indent="2" readingOrder="1"/>
    </xf>
    <xf numFmtId="0" fontId="3" fillId="2" borderId="2" xfId="0" applyFont="1" applyFill="1" applyBorder="1" applyAlignment="1">
      <alignment horizontal="left" vertical="center" wrapText="1" indent="1" readingOrder="1"/>
    </xf>
    <xf numFmtId="0" fontId="0" fillId="0" borderId="2" xfId="0" applyBorder="1" applyAlignment="1">
      <alignment horizontal="left" vertical="center" indent="2"/>
    </xf>
    <xf numFmtId="0" fontId="10" fillId="0" borderId="3" xfId="0" applyFont="1" applyBorder="1"/>
    <xf numFmtId="165" fontId="0" fillId="0" borderId="3" xfId="0" applyNumberFormat="1" applyBorder="1" applyAlignment="1">
      <alignment vertical="center"/>
    </xf>
    <xf numFmtId="0" fontId="9" fillId="0" borderId="3" xfId="0" applyFont="1" applyBorder="1"/>
    <xf numFmtId="0" fontId="8" fillId="0" borderId="2" xfId="0" applyFont="1" applyBorder="1" applyAlignment="1">
      <alignment horizontal="left" indent="1"/>
    </xf>
    <xf numFmtId="165" fontId="0" fillId="0" borderId="2" xfId="0" applyNumberFormat="1" applyBorder="1" applyAlignment="1">
      <alignment vertical="center"/>
    </xf>
    <xf numFmtId="0" fontId="9" fillId="0" borderId="2" xfId="0" applyFont="1" applyBorder="1"/>
    <xf numFmtId="49" fontId="9" fillId="0" borderId="2" xfId="0" applyNumberFormat="1" applyFont="1" applyBorder="1" applyAlignment="1">
      <alignment horizontal="left" vertical="center" indent="2"/>
    </xf>
    <xf numFmtId="0" fontId="9" fillId="0" borderId="2" xfId="0" applyFont="1" applyBorder="1" applyAlignment="1">
      <alignment horizontal="left" indent="2"/>
    </xf>
    <xf numFmtId="0" fontId="8" fillId="2" borderId="2" xfId="0" applyFont="1" applyFill="1" applyBorder="1" applyAlignment="1">
      <alignment horizontal="left" indent="1"/>
    </xf>
    <xf numFmtId="0" fontId="8" fillId="2" borderId="2" xfId="0" applyFont="1" applyFill="1" applyBorder="1"/>
    <xf numFmtId="0" fontId="10" fillId="0" borderId="2" xfId="0" applyFont="1" applyBorder="1"/>
    <xf numFmtId="0" fontId="10" fillId="0" borderId="3" xfId="0" applyFont="1" applyBorder="1" applyAlignment="1">
      <alignment vertical="center"/>
    </xf>
    <xf numFmtId="0" fontId="9" fillId="0" borderId="2" xfId="0" applyFont="1" applyBorder="1" applyAlignment="1">
      <alignment horizontal="left" vertical="center" indent="1"/>
    </xf>
    <xf numFmtId="0" fontId="8" fillId="2" borderId="2" xfId="0" applyFont="1" applyFill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9" fillId="0" borderId="3" xfId="0" applyFont="1" applyBorder="1" applyAlignment="1">
      <alignment horizontal="left" vertical="center" indent="2"/>
    </xf>
    <xf numFmtId="0" fontId="9" fillId="0" borderId="2" xfId="0" applyFont="1" applyBorder="1" applyAlignment="1">
      <alignment horizontal="left" vertical="center" indent="2"/>
    </xf>
    <xf numFmtId="0" fontId="8" fillId="2" borderId="2" xfId="0" applyFont="1" applyFill="1" applyBorder="1" applyAlignment="1">
      <alignment horizontal="left" vertical="center" indent="1"/>
    </xf>
    <xf numFmtId="9" fontId="0" fillId="0" borderId="0" xfId="0" applyNumberFormat="1" applyAlignment="1">
      <alignment vertical="center"/>
    </xf>
    <xf numFmtId="3" fontId="0" fillId="0" borderId="3" xfId="0" applyNumberFormat="1" applyBorder="1"/>
    <xf numFmtId="3" fontId="0" fillId="0" borderId="0" xfId="0" applyNumberFormat="1" applyAlignment="1">
      <alignment vertical="center"/>
    </xf>
    <xf numFmtId="167" fontId="0" fillId="0" borderId="2" xfId="0" applyNumberFormat="1" applyBorder="1" applyAlignment="1">
      <alignment vertical="center"/>
    </xf>
    <xf numFmtId="167" fontId="9" fillId="0" borderId="2" xfId="1" applyNumberFormat="1" applyFont="1" applyFill="1" applyBorder="1"/>
    <xf numFmtId="167" fontId="0" fillId="0" borderId="0" xfId="0" applyNumberFormat="1"/>
    <xf numFmtId="167" fontId="8" fillId="2" borderId="3" xfId="1" applyNumberFormat="1" applyFont="1" applyFill="1" applyBorder="1"/>
    <xf numFmtId="167" fontId="8" fillId="0" borderId="2" xfId="1" applyNumberFormat="1" applyFont="1" applyFill="1" applyBorder="1"/>
    <xf numFmtId="167" fontId="8" fillId="2" borderId="2" xfId="1" applyNumberFormat="1" applyFont="1" applyFill="1" applyBorder="1"/>
    <xf numFmtId="167" fontId="0" fillId="0" borderId="0" xfId="0" applyNumberFormat="1" applyAlignment="1">
      <alignment vertical="center"/>
    </xf>
    <xf numFmtId="167" fontId="3" fillId="2" borderId="3" xfId="0" applyNumberFormat="1" applyFont="1" applyFill="1" applyBorder="1" applyAlignment="1">
      <alignment vertical="center"/>
    </xf>
    <xf numFmtId="167" fontId="3" fillId="2" borderId="2" xfId="0" applyNumberFormat="1" applyFont="1" applyFill="1" applyBorder="1" applyAlignment="1">
      <alignment vertical="center"/>
    </xf>
    <xf numFmtId="167" fontId="9" fillId="0" borderId="3" xfId="1" applyNumberFormat="1" applyFont="1" applyFill="1" applyBorder="1"/>
    <xf numFmtId="167" fontId="9" fillId="2" borderId="2" xfId="1" applyNumberFormat="1" applyFont="1" applyFill="1" applyBorder="1"/>
    <xf numFmtId="167" fontId="9" fillId="2" borderId="2" xfId="0" applyNumberFormat="1" applyFont="1" applyFill="1" applyBorder="1" applyAlignment="1">
      <alignment horizontal="right" vertical="center"/>
    </xf>
    <xf numFmtId="167" fontId="3" fillId="0" borderId="2" xfId="0" applyNumberFormat="1" applyFont="1" applyBorder="1" applyAlignment="1">
      <alignment vertical="center"/>
    </xf>
    <xf numFmtId="167" fontId="13" fillId="0" borderId="2" xfId="0" applyNumberFormat="1" applyFont="1" applyBorder="1" applyAlignment="1">
      <alignment vertical="center"/>
    </xf>
    <xf numFmtId="4" fontId="0" fillId="0" borderId="0" xfId="0" applyNumberFormat="1"/>
    <xf numFmtId="49" fontId="8" fillId="0" borderId="2" xfId="0" applyNumberFormat="1" applyFont="1" applyBorder="1" applyAlignment="1">
      <alignment horizontal="left" vertical="center" indent="1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0" fontId="0" fillId="0" borderId="0" xfId="0" quotePrefix="1"/>
    <xf numFmtId="14" fontId="1" fillId="4" borderId="1" xfId="0" quotePrefix="1" applyNumberFormat="1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center" vertical="center"/>
    </xf>
    <xf numFmtId="0" fontId="14" fillId="0" borderId="0" xfId="6" applyFont="1" applyAlignment="1">
      <alignment horizontal="left"/>
    </xf>
    <xf numFmtId="0" fontId="14" fillId="0" borderId="4" xfId="6" applyFont="1" applyBorder="1" applyAlignment="1">
      <alignment horizontal="left"/>
    </xf>
    <xf numFmtId="164" fontId="11" fillId="0" borderId="0" xfId="2" applyNumberFormat="1" applyFont="1" applyFill="1" applyBorder="1"/>
    <xf numFmtId="1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9" fontId="0" fillId="0" borderId="0" xfId="2" applyFont="1"/>
    <xf numFmtId="9" fontId="0" fillId="0" borderId="0" xfId="2" applyFont="1" applyAlignment="1">
      <alignment vertical="center"/>
    </xf>
    <xf numFmtId="0" fontId="64" fillId="0" borderId="0" xfId="0" applyFont="1"/>
    <xf numFmtId="167" fontId="13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left" vertical="center" wrapText="1" indent="1" readingOrder="1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 indent="2" readingOrder="1"/>
    </xf>
    <xf numFmtId="167" fontId="3" fillId="0" borderId="0" xfId="0" applyNumberFormat="1" applyFont="1"/>
    <xf numFmtId="167" fontId="65" fillId="0" borderId="24" xfId="0" applyNumberFormat="1" applyFont="1" applyBorder="1" applyAlignment="1">
      <alignment horizontal="right"/>
    </xf>
    <xf numFmtId="164" fontId="0" fillId="0" borderId="0" xfId="2" applyNumberFormat="1" applyFont="1" applyAlignment="1">
      <alignment vertical="center"/>
    </xf>
    <xf numFmtId="167" fontId="66" fillId="0" borderId="2" xfId="0" applyNumberFormat="1" applyFont="1" applyBorder="1" applyAlignment="1">
      <alignment vertical="center"/>
    </xf>
    <xf numFmtId="167" fontId="67" fillId="2" borderId="2" xfId="1" applyNumberFormat="1" applyFont="1" applyFill="1" applyBorder="1"/>
    <xf numFmtId="164" fontId="66" fillId="0" borderId="2" xfId="2" applyNumberFormat="1" applyFont="1" applyFill="1" applyBorder="1" applyAlignment="1">
      <alignment vertical="center"/>
    </xf>
    <xf numFmtId="3" fontId="66" fillId="0" borderId="2" xfId="0" applyNumberFormat="1" applyFont="1" applyBorder="1" applyAlignment="1">
      <alignment vertical="center"/>
    </xf>
    <xf numFmtId="173" fontId="0" fillId="0" borderId="0" xfId="0" applyNumberFormat="1" applyAlignment="1">
      <alignment vertical="center"/>
    </xf>
    <xf numFmtId="3" fontId="0" fillId="0" borderId="0" xfId="0" applyNumberFormat="1"/>
    <xf numFmtId="174" fontId="0" fillId="0" borderId="0" xfId="0" applyNumberFormat="1"/>
    <xf numFmtId="0" fontId="0" fillId="66" borderId="0" xfId="0" applyFill="1"/>
    <xf numFmtId="167" fontId="8" fillId="0" borderId="0" xfId="1" applyNumberFormat="1" applyFont="1" applyFill="1" applyBorder="1"/>
    <xf numFmtId="167" fontId="9" fillId="0" borderId="0" xfId="1" applyNumberFormat="1" applyFont="1" applyFill="1" applyBorder="1"/>
    <xf numFmtId="0" fontId="69" fillId="0" borderId="0" xfId="0" applyFont="1" applyAlignment="1">
      <alignment horizontal="left" vertical="center" indent="1" readingOrder="1"/>
    </xf>
    <xf numFmtId="3" fontId="70" fillId="0" borderId="0" xfId="0" applyNumberFormat="1" applyFont="1"/>
    <xf numFmtId="3" fontId="70" fillId="0" borderId="0" xfId="0" applyNumberFormat="1" applyFont="1" applyAlignment="1">
      <alignment horizontal="right" vertical="center"/>
    </xf>
    <xf numFmtId="164" fontId="0" fillId="0" borderId="0" xfId="2" applyNumberFormat="1" applyFont="1"/>
    <xf numFmtId="4" fontId="0" fillId="0" borderId="2" xfId="2" applyNumberFormat="1" applyFont="1" applyBorder="1" applyAlignment="1">
      <alignment vertical="center"/>
    </xf>
    <xf numFmtId="14" fontId="1" fillId="4" borderId="0" xfId="0" applyNumberFormat="1" applyFont="1" applyFill="1" applyAlignment="1">
      <alignment horizontal="center" vertical="center"/>
    </xf>
    <xf numFmtId="167" fontId="67" fillId="2" borderId="0" xfId="1" applyNumberFormat="1" applyFont="1" applyFill="1" applyBorder="1"/>
  </cellXfs>
  <cellStyles count="493">
    <cellStyle name="20% - Accent1 2" xfId="33" xr:uid="{F18E2DFE-7B31-425C-B737-765EEE5F736B}"/>
    <cellStyle name="20% - Accent2 2" xfId="34" xr:uid="{89F695B4-0C64-4781-9EA9-E6D9B32CAE27}"/>
    <cellStyle name="20% - Accent3 2" xfId="35" xr:uid="{8686EFA9-7D32-40BF-BBAB-BD3DD3489F28}"/>
    <cellStyle name="20% - Accent4 2" xfId="36" xr:uid="{C4223AE2-5AD3-46E0-B254-9B84BD311909}"/>
    <cellStyle name="20% - Accent5 2" xfId="37" xr:uid="{DC147DF8-02D6-4637-ACDF-B862CEE4CCF2}"/>
    <cellStyle name="20% - Accent6 2" xfId="38" xr:uid="{6DF61F9A-D6BE-462B-BA6B-BD68ED5BBD24}"/>
    <cellStyle name="20% - akcent 1" xfId="39" xr:uid="{3AA2C548-1924-480D-93D7-082900869F61}"/>
    <cellStyle name="20% - akcent 2" xfId="40" xr:uid="{55088AB5-38F4-4E25-950B-1B66192B1C52}"/>
    <cellStyle name="20% - akcent 3" xfId="41" xr:uid="{AEA73F4E-FB47-4124-BBB7-E81D98F21FDD}"/>
    <cellStyle name="20% - akcent 4" xfId="42" xr:uid="{128A567A-5C65-46C5-A0FA-1AE0AB2F9DEB}"/>
    <cellStyle name="20% - akcent 5" xfId="43" xr:uid="{57E70F1D-0C81-4C92-8C5D-21F8587CF297}"/>
    <cellStyle name="20% - akcent 6" xfId="44" xr:uid="{FE2D4C66-AEDE-4C34-81EE-AA326915E9D2}"/>
    <cellStyle name="20% - Ênfase1 10" xfId="45" xr:uid="{FD0E62E3-DC69-454B-8AEC-3B60EAE4BB65}"/>
    <cellStyle name="20% - Ênfase1 11" xfId="46" xr:uid="{594B5543-8ED1-44BE-9366-FDFD820A014B}"/>
    <cellStyle name="20% - Ênfase1 12" xfId="47" xr:uid="{0C445918-5CD8-4F09-A5A4-5EFCB9462AB3}"/>
    <cellStyle name="20% - Ênfase1 13" xfId="48" xr:uid="{73E47F5A-E469-413F-BA71-EB076E08F9C6}"/>
    <cellStyle name="20% - Ênfase1 14" xfId="49" xr:uid="{68973E0A-54A2-45A2-A1F6-4008267A1265}"/>
    <cellStyle name="20% - Ênfase1 15" xfId="50" xr:uid="{C34C70A1-C236-42C1-841A-73415134EE6B}"/>
    <cellStyle name="20% - Ênfase1 16" xfId="51" xr:uid="{B1713D6C-5E89-4AA1-B542-E2D43342C519}"/>
    <cellStyle name="20% - Ênfase1 17" xfId="52" xr:uid="{AF44223A-9926-41C6-A2FD-85C21E200F57}"/>
    <cellStyle name="20% - Ênfase1 18" xfId="53" xr:uid="{009A3427-BD81-4D9A-A5AF-3DD0FA040C3E}"/>
    <cellStyle name="20% - Ênfase1 19" xfId="54" xr:uid="{2531D48D-7A68-49E3-B61D-96AF920C5CAC}"/>
    <cellStyle name="20% - Ênfase1 2" xfId="55" xr:uid="{48823892-F8D8-4480-9852-4450F5ADF838}"/>
    <cellStyle name="20% - Ênfase1 20" xfId="56" xr:uid="{23350CD0-120B-4E85-A86A-A6DD86AC28C4}"/>
    <cellStyle name="20% - Ênfase1 21" xfId="57" xr:uid="{C6527D52-1590-42CA-8E87-C2362C73EDB1}"/>
    <cellStyle name="20% - Ênfase1 22" xfId="58" xr:uid="{BB503734-55A1-4E9F-88CF-C235C525AC3E}"/>
    <cellStyle name="20% - Ênfase1 3" xfId="59" xr:uid="{B5174579-39AC-4514-A90B-2437EF0E1BB3}"/>
    <cellStyle name="20% - Ênfase1 4" xfId="60" xr:uid="{21C20DDD-FED5-4C66-9E29-A729FD359F43}"/>
    <cellStyle name="20% - Ênfase1 5" xfId="61" xr:uid="{712597FF-D051-4868-A487-342F28596B92}"/>
    <cellStyle name="20% - Ênfase1 6" xfId="62" xr:uid="{D933F4DE-A5DB-4326-BA0A-D30FC83BEC33}"/>
    <cellStyle name="20% - Ênfase1 7" xfId="63" xr:uid="{A1E08EB6-B7F1-475C-848D-3FAC43160721}"/>
    <cellStyle name="20% - Ênfase1 8" xfId="64" xr:uid="{44392519-D7A3-423B-8766-13C37A0D98CC}"/>
    <cellStyle name="20% - Ênfase1 9" xfId="65" xr:uid="{A7DF71C0-8DD3-4723-8972-D1ECD1133257}"/>
    <cellStyle name="20% - Ênfase2 10" xfId="66" xr:uid="{E19296E9-C041-401A-8792-F92EC56096FD}"/>
    <cellStyle name="20% - Ênfase2 11" xfId="67" xr:uid="{52054817-D559-4216-9DA7-A3417673D5EF}"/>
    <cellStyle name="20% - Ênfase2 12" xfId="68" xr:uid="{7F789DFC-9E3C-4605-990D-6B9D7B81BD9A}"/>
    <cellStyle name="20% - Ênfase2 13" xfId="69" xr:uid="{A6ACFA0D-F67D-4AA0-BC6F-03DC5F1F0A5C}"/>
    <cellStyle name="20% - Ênfase2 14" xfId="70" xr:uid="{2F5FA014-3213-4EE6-90DE-57838286F53B}"/>
    <cellStyle name="20% - Ênfase2 15" xfId="71" xr:uid="{0EB34E9E-EFC6-4F9B-9CA7-87412075AD82}"/>
    <cellStyle name="20% - Ênfase2 16" xfId="72" xr:uid="{72F9E157-DF1C-4466-82C5-BD0609CC4CCE}"/>
    <cellStyle name="20% - Ênfase2 17" xfId="73" xr:uid="{2E2617C4-0979-4A67-9AD6-3A16B3E48D43}"/>
    <cellStyle name="20% - Ênfase2 18" xfId="74" xr:uid="{A09824CA-01C4-483F-8AFF-ED548C8ADEE0}"/>
    <cellStyle name="20% - Ênfase2 19" xfId="75" xr:uid="{F735768F-C4F2-4CCF-ABFE-3ACF7467BE77}"/>
    <cellStyle name="20% - Ênfase2 2" xfId="76" xr:uid="{3EE656AC-20D5-4F31-800E-76B1F7A1380D}"/>
    <cellStyle name="20% - Ênfase2 20" xfId="77" xr:uid="{7016126F-6D6B-4378-84E9-2207B74D2198}"/>
    <cellStyle name="20% - Ênfase2 21" xfId="78" xr:uid="{01EF5934-B1D2-44F9-AD7D-1F2FA2C33AEE}"/>
    <cellStyle name="20% - Ênfase2 22" xfId="79" xr:uid="{4F40D2B9-660F-4268-9C47-AE70ED330DAF}"/>
    <cellStyle name="20% - Ênfase2 3" xfId="80" xr:uid="{DF321555-FA85-4692-A399-D103D8B56699}"/>
    <cellStyle name="20% - Ênfase2 4" xfId="81" xr:uid="{0A6AC449-ECB0-4038-ADC4-5A8792A62E53}"/>
    <cellStyle name="20% - Ênfase2 5" xfId="82" xr:uid="{8720AFEF-7F7B-4B44-B8B0-D8BD35EE18E4}"/>
    <cellStyle name="20% - Ênfase2 6" xfId="83" xr:uid="{8BD1EBE1-C561-4964-B1D1-B3646531241F}"/>
    <cellStyle name="20% - Ênfase2 7" xfId="84" xr:uid="{A8184484-23E2-4651-8B36-5F77D17C0664}"/>
    <cellStyle name="20% - Ênfase2 8" xfId="85" xr:uid="{58204D87-74E4-4EA9-9EC6-851954EC6F57}"/>
    <cellStyle name="20% - Ênfase2 9" xfId="86" xr:uid="{B0323F18-87F9-445B-B925-679AE1BE6AE4}"/>
    <cellStyle name="20% - Ênfase3 10" xfId="87" xr:uid="{28CB6660-7BE5-44EE-9978-9621FCDB18B8}"/>
    <cellStyle name="20% - Ênfase3 11" xfId="88" xr:uid="{6CEB8DFF-EEDE-4A17-B920-20E791FC334C}"/>
    <cellStyle name="20% - Ênfase3 12" xfId="89" xr:uid="{1063C03B-FA14-4AA5-9118-0F33F4DBFDCD}"/>
    <cellStyle name="20% - Ênfase3 13" xfId="90" xr:uid="{9D4C187E-0DBB-442C-987B-2EA228EBB045}"/>
    <cellStyle name="20% - Ênfase3 14" xfId="91" xr:uid="{21E760D4-B90A-4B9E-BB60-BD8E0BE4067D}"/>
    <cellStyle name="20% - Ênfase3 15" xfId="92" xr:uid="{5FA60E1D-848E-4F7A-9AC7-40F977CBB617}"/>
    <cellStyle name="20% - Ênfase3 16" xfId="93" xr:uid="{967B6987-FE1E-4EA1-BDC9-F4E35BF73837}"/>
    <cellStyle name="20% - Ênfase3 17" xfId="94" xr:uid="{C9969376-DBC1-4221-9337-A0BD6E3EFCCB}"/>
    <cellStyle name="20% - Ênfase3 18" xfId="95" xr:uid="{5D060E1B-CF44-44F3-8ECB-939DE8736B3B}"/>
    <cellStyle name="20% - Ênfase3 19" xfId="96" xr:uid="{899B7A34-466A-4A46-BA25-E5A9D2B7BB6D}"/>
    <cellStyle name="20% - Ênfase3 2" xfId="97" xr:uid="{AFBD914F-BEAE-4CF3-A1BD-B3B9CF03CEE8}"/>
    <cellStyle name="20% - Ênfase3 20" xfId="98" xr:uid="{3D2557DE-4C1B-432F-B31F-2D22C847691C}"/>
    <cellStyle name="20% - Ênfase3 21" xfId="99" xr:uid="{93557427-5772-4A9B-8A5B-FF7F21F9B528}"/>
    <cellStyle name="20% - Ênfase3 22" xfId="100" xr:uid="{1CC3B998-F303-4BBA-8D88-912A5351108D}"/>
    <cellStyle name="20% - Ênfase3 3" xfId="101" xr:uid="{E607F588-8525-498C-A11B-555EB4F94488}"/>
    <cellStyle name="20% - Ênfase3 4" xfId="102" xr:uid="{A0B77D37-33E9-461A-B42C-695915819AC1}"/>
    <cellStyle name="20% - Ênfase3 5" xfId="103" xr:uid="{351E38EF-1F47-4B44-ABEC-8E77C3502F19}"/>
    <cellStyle name="20% - Ênfase3 6" xfId="104" xr:uid="{156FF4D2-A5FD-4D99-902D-694A82578821}"/>
    <cellStyle name="20% - Ênfase3 7" xfId="105" xr:uid="{FFF4CC4B-5773-46EB-8AC0-69606F265B62}"/>
    <cellStyle name="20% - Ênfase3 8" xfId="106" xr:uid="{F9735120-4D1B-45D8-A087-B02974821F20}"/>
    <cellStyle name="20% - Ênfase3 9" xfId="107" xr:uid="{CEA4C070-15CC-4F3D-A0AE-C9393C6803D7}"/>
    <cellStyle name="20% - Ênfase4 10" xfId="108" xr:uid="{EB4A7CB7-8D4E-4432-811E-75585BFB9A2D}"/>
    <cellStyle name="20% - Ênfase4 11" xfId="109" xr:uid="{485D699A-0BED-42C9-AC3E-D4A00CD06882}"/>
    <cellStyle name="20% - Ênfase4 12" xfId="110" xr:uid="{6BBAF804-C479-4D21-AE41-65377E399606}"/>
    <cellStyle name="20% - Ênfase4 13" xfId="111" xr:uid="{B39A4D10-F051-4D7D-8F15-FE260C89B18F}"/>
    <cellStyle name="20% - Ênfase4 14" xfId="112" xr:uid="{53729363-11C0-464B-8E2A-55D71731CDA5}"/>
    <cellStyle name="20% - Ênfase4 15" xfId="113" xr:uid="{1961D842-4E30-4F3E-AD92-EFEC8199937D}"/>
    <cellStyle name="20% - Ênfase4 16" xfId="114" xr:uid="{999D030A-85F8-49AA-9B18-B88FC242FC36}"/>
    <cellStyle name="20% - Ênfase4 17" xfId="115" xr:uid="{096558C9-4284-4D67-9ED6-938584E600A1}"/>
    <cellStyle name="20% - Ênfase4 18" xfId="116" xr:uid="{DC936870-8954-4392-B0C0-DDFA4DC42212}"/>
    <cellStyle name="20% - Ênfase4 19" xfId="117" xr:uid="{6BC769E1-3AB2-404E-B360-97A11F77EAF5}"/>
    <cellStyle name="20% - Ênfase4 2" xfId="118" xr:uid="{F967A919-2B7D-4EFA-8CE9-49627457C1A3}"/>
    <cellStyle name="20% - Ênfase4 20" xfId="119" xr:uid="{123094FB-01D2-4B1F-BBDC-8005DFB72C5A}"/>
    <cellStyle name="20% - Ênfase4 21" xfId="120" xr:uid="{146010A9-E86D-4A84-BFA2-067CB62AB9E8}"/>
    <cellStyle name="20% - Ênfase4 22" xfId="121" xr:uid="{DFE74EBA-AB5E-4965-9F04-7ECA4A52F6E0}"/>
    <cellStyle name="20% - Ênfase4 3" xfId="122" xr:uid="{900E42C9-F2E1-4650-B83C-AC0008B61924}"/>
    <cellStyle name="20% - Ênfase4 4" xfId="123" xr:uid="{7053F7F1-8220-4297-9EBF-9946452000B0}"/>
    <cellStyle name="20% - Ênfase4 5" xfId="124" xr:uid="{D0ED4C4C-2062-4AF4-8527-99E668360E16}"/>
    <cellStyle name="20% - Ênfase4 6" xfId="125" xr:uid="{CC66C606-69B1-43F3-BE9A-541C0283B12E}"/>
    <cellStyle name="20% - Ênfase4 7" xfId="126" xr:uid="{CA654643-559E-49AD-8F7A-8C3A40CDF1EF}"/>
    <cellStyle name="20% - Ênfase4 8" xfId="127" xr:uid="{284093D1-8CA3-47D0-8265-0A3BF9A238B5}"/>
    <cellStyle name="20% - Ênfase4 9" xfId="128" xr:uid="{F66A418A-5A08-4E40-9292-515FC90F8CC3}"/>
    <cellStyle name="40% - Accent1" xfId="129" xr:uid="{070345DE-EAA5-4CFD-B4D1-5B08D64194E6}"/>
    <cellStyle name="40% - Accent1 2" xfId="130" xr:uid="{F48846F0-EDF6-4845-884C-5F3ED9683A9D}"/>
    <cellStyle name="40% - Accent2 2" xfId="131" xr:uid="{96E57751-5D4F-4337-AB74-4DEF216D18FD}"/>
    <cellStyle name="40% - Accent3 2" xfId="132" xr:uid="{1B70EA88-1245-4302-A3A0-D1B9C8A43C80}"/>
    <cellStyle name="40% - Accent4 2" xfId="133" xr:uid="{F78AEC99-27C0-45BD-A8EA-363409F85961}"/>
    <cellStyle name="40% - Accent5 2" xfId="134" xr:uid="{2B6326E8-F26F-4231-9414-A5964301EEF7}"/>
    <cellStyle name="40% - Accent6 2" xfId="135" xr:uid="{B6BA242E-2025-48B3-A12B-16FB9682B991}"/>
    <cellStyle name="40% - akcent 2" xfId="136" xr:uid="{17A6C845-C8D1-41E7-9732-29F4B8438A8D}"/>
    <cellStyle name="40% - akcent 3" xfId="137" xr:uid="{0A4DEED2-E782-4AA9-8F8E-0E5B33DA1B8C}"/>
    <cellStyle name="40% - akcent 4" xfId="138" xr:uid="{3EE03516-CEFB-4A77-87AB-3BC86907BE7C}"/>
    <cellStyle name="40% - akcent 5" xfId="139" xr:uid="{9C2FCF51-8247-4B44-A007-6EE3588C939D}"/>
    <cellStyle name="40% - akcent 6" xfId="140" xr:uid="{CF2145A2-A3F4-4395-BD4B-B5E25B7C5A38}"/>
    <cellStyle name="40% - Ênfase3 10" xfId="141" xr:uid="{CC1B1139-CE7F-4AC5-9B4F-5FD3D30100C0}"/>
    <cellStyle name="40% - Ênfase3 11" xfId="142" xr:uid="{1C929ABA-C86E-4AD6-B266-93BEE2C040F3}"/>
    <cellStyle name="40% - Ênfase3 12" xfId="143" xr:uid="{A017106F-E5BF-4218-A6AD-363B901701C8}"/>
    <cellStyle name="40% - Ênfase3 13" xfId="144" xr:uid="{85864863-2307-45F8-AD70-F3AD6F2C9B78}"/>
    <cellStyle name="40% - Ênfase3 14" xfId="145" xr:uid="{10C78563-052B-467B-AC36-7AED85CA2876}"/>
    <cellStyle name="40% - Ênfase3 15" xfId="146" xr:uid="{72D9F700-72A5-408D-8D5F-4F0BA71462CC}"/>
    <cellStyle name="40% - Ênfase3 16" xfId="147" xr:uid="{BF1AAC6B-2E57-4380-9022-CD65CBBA600C}"/>
    <cellStyle name="40% - Ênfase3 17" xfId="148" xr:uid="{45255BA5-A6BC-4A6E-B8BE-598217E35F39}"/>
    <cellStyle name="40% - Ênfase3 18" xfId="149" xr:uid="{483CCD23-4C19-4531-BB69-70CADE3A843A}"/>
    <cellStyle name="40% - Ênfase3 19" xfId="150" xr:uid="{5F941731-0C16-413D-8BBD-F78AFD3AE03A}"/>
    <cellStyle name="40% - Ênfase3 2" xfId="151" xr:uid="{A876A3F1-8AA1-440D-AC07-E0EA5BA432F4}"/>
    <cellStyle name="40% - Ênfase3 20" xfId="152" xr:uid="{F78E10F0-3A4C-4D3F-94E9-B2D2ACB76AD7}"/>
    <cellStyle name="40% - Ênfase3 21" xfId="153" xr:uid="{6D7CE743-7804-4B45-A62F-94B9207BB579}"/>
    <cellStyle name="40% - Ênfase3 22" xfId="154" xr:uid="{85926296-6C14-41A7-B219-11DA7C7B1135}"/>
    <cellStyle name="40% - Ênfase3 3" xfId="155" xr:uid="{FE7F1D01-075A-401F-9CD8-E9346BEF74BA}"/>
    <cellStyle name="40% - Ênfase3 4" xfId="156" xr:uid="{A8B98E21-D20E-4E7C-B1CA-4B490E9CF440}"/>
    <cellStyle name="40% - Ênfase3 5" xfId="157" xr:uid="{FC3B8EA1-A442-4A1F-82A2-AA144D46CA7A}"/>
    <cellStyle name="40% - Ênfase3 6" xfId="158" xr:uid="{DA8F9B42-1844-4780-A3B4-02EAEA88AB95}"/>
    <cellStyle name="40% - Ênfase3 7" xfId="159" xr:uid="{F120693F-40B4-4C25-8AC1-09E4E6CF5B92}"/>
    <cellStyle name="40% - Ênfase3 8" xfId="160" xr:uid="{1AE1F5B9-78CA-4FB9-9BEC-F7D2CE57BE3B}"/>
    <cellStyle name="40% - Ênfase3 9" xfId="161" xr:uid="{64225796-49F7-424E-B180-528A0C638941}"/>
    <cellStyle name="60% - Accent1" xfId="162" xr:uid="{FC796523-581D-4E4F-A78C-A9538C20BE93}"/>
    <cellStyle name="60% - Accent1 2" xfId="163" xr:uid="{80178BCC-AC55-4F00-BE6E-17E5CCFF6E17}"/>
    <cellStyle name="60% - Accent2 2" xfId="164" xr:uid="{2CFB2172-C560-4CDA-9768-626FE82EA18A}"/>
    <cellStyle name="60% - Accent3 2" xfId="165" xr:uid="{AD1A579C-30B8-4102-BD0D-AC3A356D7C98}"/>
    <cellStyle name="60% - Accent4 2" xfId="166" xr:uid="{CEF10FCD-35B4-4EBB-A7F2-3872783F515C}"/>
    <cellStyle name="60% - Accent5 2" xfId="167" xr:uid="{ACCFB534-55A4-4415-82EF-8A75D2FD5621}"/>
    <cellStyle name="60% - Accent6 2" xfId="168" xr:uid="{4BBD649F-7C33-45B4-987F-CED1DCF21880}"/>
    <cellStyle name="60% - akcent 1" xfId="169" xr:uid="{372861EA-7FC4-45B0-859F-088A15092856}"/>
    <cellStyle name="60% - akcent 2" xfId="170" xr:uid="{913F8E39-BF45-439E-AC74-FD3FA7C9F66F}"/>
    <cellStyle name="60% - akcent 3" xfId="171" xr:uid="{02571B68-F882-4071-A797-3C7710B1C0A4}"/>
    <cellStyle name="60% - akcent 4" xfId="172" xr:uid="{EE4BC1EB-A820-44B2-9B25-947C75489C3C}"/>
    <cellStyle name="60% - akcent 5" xfId="173" xr:uid="{7C8E2B5F-E0F1-4CF5-8938-ADF9E44554C4}"/>
    <cellStyle name="60% - akcent 6" xfId="174" xr:uid="{9CFC2913-7B76-4B56-BB43-FAED39292EF9}"/>
    <cellStyle name="60% - Ênfase3 10" xfId="175" xr:uid="{0E57AF69-ED5E-4E4F-AE43-5991A5209AB2}"/>
    <cellStyle name="60% - Ênfase3 11" xfId="176" xr:uid="{AB74B803-4231-4F4C-9ED9-DB3EC18A9074}"/>
    <cellStyle name="60% - Ênfase3 12" xfId="177" xr:uid="{BA6B0D0B-1A5F-4233-A2D6-16D86A8DC636}"/>
    <cellStyle name="60% - Ênfase3 13" xfId="178" xr:uid="{0ACE40EE-E1F5-4E9C-B644-F236B104B721}"/>
    <cellStyle name="60% - Ênfase3 14" xfId="179" xr:uid="{85559143-0F92-45A4-B8C6-69F80AC92F21}"/>
    <cellStyle name="60% - Ênfase3 15" xfId="180" xr:uid="{BC82CB31-ABE2-4B1D-8A62-B0CEF4109E95}"/>
    <cellStyle name="60% - Ênfase3 16" xfId="181" xr:uid="{3B70C536-4F05-4244-927D-6362A1273B66}"/>
    <cellStyle name="60% - Ênfase3 17" xfId="182" xr:uid="{2423D62B-9C44-4470-BD8D-9B9EA3FBC3CA}"/>
    <cellStyle name="60% - Ênfase3 18" xfId="183" xr:uid="{FEB35615-7583-426C-94AC-FB82BD59CDF8}"/>
    <cellStyle name="60% - Ênfase3 19" xfId="184" xr:uid="{8C27AFB6-B6D2-4AAB-A77E-A8A089232D18}"/>
    <cellStyle name="60% - Ênfase3 2" xfId="185" xr:uid="{3C710125-AC06-44B6-B04B-3F77F7B1A85E}"/>
    <cellStyle name="60% - Ênfase3 20" xfId="186" xr:uid="{4048317D-5EE1-4605-89C3-3ACD699777E9}"/>
    <cellStyle name="60% - Ênfase3 21" xfId="187" xr:uid="{C3C68DA3-AAC2-4CEF-B7E2-F5D578190472}"/>
    <cellStyle name="60% - Ênfase3 22" xfId="188" xr:uid="{B53044C1-D3FC-463D-B1A7-E599BCC448E9}"/>
    <cellStyle name="60% - Ênfase3 3" xfId="189" xr:uid="{5F38D78D-DCC4-4E17-8E12-1A20B3CBBFA0}"/>
    <cellStyle name="60% - Ênfase3 4" xfId="190" xr:uid="{76C119B9-5BBA-4956-9922-456E997E3430}"/>
    <cellStyle name="60% - Ênfase3 5" xfId="191" xr:uid="{880E4D95-FDC5-4A1F-83C4-2695665475F6}"/>
    <cellStyle name="60% - Ênfase3 6" xfId="192" xr:uid="{8E678577-582E-4B23-BAB1-C6F57AADFEE7}"/>
    <cellStyle name="60% - Ênfase3 7" xfId="193" xr:uid="{939E7722-AB01-45AB-9E84-A122960DEDA5}"/>
    <cellStyle name="60% - Ênfase3 8" xfId="194" xr:uid="{A37CF505-6039-4DD3-B9B0-33733D63DE5E}"/>
    <cellStyle name="60% - Ênfase3 9" xfId="195" xr:uid="{2B8889A7-84D4-4BFC-833C-533ACB61336A}"/>
    <cellStyle name="60% - Ênfase4 10" xfId="196" xr:uid="{5EDC12AE-DECA-42BA-9F12-3A9121E9315B}"/>
    <cellStyle name="60% - Ênfase4 11" xfId="197" xr:uid="{2D6A35EA-6747-472B-95E4-B1927495308C}"/>
    <cellStyle name="60% - Ênfase4 12" xfId="198" xr:uid="{04F2EC60-C38C-458D-8D79-36EBF2F87D8C}"/>
    <cellStyle name="60% - Ênfase4 13" xfId="199" xr:uid="{BD1D71B7-50F0-4276-8942-25D558F1B316}"/>
    <cellStyle name="60% - Ênfase4 14" xfId="200" xr:uid="{51AB2B76-D608-4365-883F-B18A205E59F5}"/>
    <cellStyle name="60% - Ênfase4 15" xfId="201" xr:uid="{8305F1FE-7A6F-4AB1-880F-B1D60CAE7A6F}"/>
    <cellStyle name="60% - Ênfase4 16" xfId="202" xr:uid="{08A9E13A-A4FB-438C-9AF7-BF354A447C5D}"/>
    <cellStyle name="60% - Ênfase4 17" xfId="203" xr:uid="{8DA03D8C-3C64-40B6-9062-7FEF729CBB4D}"/>
    <cellStyle name="60% - Ênfase4 18" xfId="204" xr:uid="{EE4B8C8D-5A78-4577-B0FB-AD31FC960478}"/>
    <cellStyle name="60% - Ênfase4 19" xfId="205" xr:uid="{38488C4C-E98A-4BDD-980A-1E032260685A}"/>
    <cellStyle name="60% - Ênfase4 2" xfId="206" xr:uid="{785FEEF0-1D67-49C0-9F10-98E43A7BCB57}"/>
    <cellStyle name="60% - Ênfase4 20" xfId="207" xr:uid="{F02A57F2-B3E5-48B3-8CD9-42580697BAB4}"/>
    <cellStyle name="60% - Ênfase4 21" xfId="208" xr:uid="{56A9B19F-8E25-4228-9112-6238D461A197}"/>
    <cellStyle name="60% - Ênfase4 22" xfId="209" xr:uid="{E20E5CF5-3B06-4689-AA65-EC2A1730464F}"/>
    <cellStyle name="60% - Ênfase4 3" xfId="210" xr:uid="{6226F8B9-F0A9-4F75-B688-336D6A6CC062}"/>
    <cellStyle name="60% - Ênfase4 4" xfId="211" xr:uid="{A3921D1B-7D1B-4209-B76F-973A1307AB54}"/>
    <cellStyle name="60% - Ênfase4 5" xfId="212" xr:uid="{D83B7F2A-87B5-4255-9E4F-651FCED25B47}"/>
    <cellStyle name="60% - Ênfase4 6" xfId="213" xr:uid="{2959173C-6D56-4C61-87F4-6FC02798E19F}"/>
    <cellStyle name="60% - Ênfase4 7" xfId="214" xr:uid="{B84F741A-95AF-43E2-B304-D4E9C273DB56}"/>
    <cellStyle name="60% - Ênfase4 8" xfId="215" xr:uid="{6428802F-6ADC-4270-BE32-0E15E9F5DD85}"/>
    <cellStyle name="60% - Ênfase4 9" xfId="216" xr:uid="{BEC256FC-B40D-4EE4-A80A-2B2AB8BC30EC}"/>
    <cellStyle name="60% - Ênfase6 10" xfId="217" xr:uid="{6A9CB84E-33C5-42A0-ABA3-12F62AA3087B}"/>
    <cellStyle name="60% - Ênfase6 11" xfId="218" xr:uid="{7D74A6B4-2B80-432E-B14C-DB6AC4EDD7E5}"/>
    <cellStyle name="60% - Ênfase6 12" xfId="219" xr:uid="{477A28D8-ACEB-4E92-9869-0EB9E84C0EDA}"/>
    <cellStyle name="60% - Ênfase6 13" xfId="220" xr:uid="{69104440-EAFD-4AF4-BD28-5CEA3B79F9D4}"/>
    <cellStyle name="60% - Ênfase6 14" xfId="221" xr:uid="{CACBC158-5289-4094-B062-97EFBEDC29C9}"/>
    <cellStyle name="60% - Ênfase6 15" xfId="222" xr:uid="{CD8C0BF9-C4E6-484A-95E0-1E32CFC00741}"/>
    <cellStyle name="60% - Ênfase6 16" xfId="223" xr:uid="{3CEE18FF-B2C1-44F5-8E60-D020AB0F8B72}"/>
    <cellStyle name="60% - Ênfase6 17" xfId="224" xr:uid="{930CA6FA-B385-4E03-BFBF-ED89CFCE6EFA}"/>
    <cellStyle name="60% - Ênfase6 18" xfId="225" xr:uid="{9807BA02-A5CB-4A36-9D11-F721562C452A}"/>
    <cellStyle name="60% - Ênfase6 19" xfId="226" xr:uid="{5CD2C10F-FF13-44BA-8C3D-C3E52467C243}"/>
    <cellStyle name="60% - Ênfase6 2" xfId="227" xr:uid="{1F67E479-947F-4ACC-A986-9151407217E8}"/>
    <cellStyle name="60% - Ênfase6 20" xfId="228" xr:uid="{60A97B86-7EA9-432B-9357-4CBDC9CF5D27}"/>
    <cellStyle name="60% - Ênfase6 21" xfId="229" xr:uid="{DBAE0AB5-ABB9-41D5-A296-B5F6FD8FB77C}"/>
    <cellStyle name="60% - Ênfase6 22" xfId="230" xr:uid="{7B781C4D-E275-4DBE-855C-2014D86E72BA}"/>
    <cellStyle name="60% - Ênfase6 3" xfId="231" xr:uid="{51E9F8D0-E229-4E79-874D-39B74812B311}"/>
    <cellStyle name="60% - Ênfase6 4" xfId="232" xr:uid="{0323B76E-3112-49E4-A758-FB74B9EF5FDD}"/>
    <cellStyle name="60% - Ênfase6 5" xfId="233" xr:uid="{226BE135-3AB3-4278-AF6B-9CC3B88A51DD}"/>
    <cellStyle name="60% - Ênfase6 6" xfId="234" xr:uid="{727CFD7A-E9EA-4F37-B24C-3EBF7C577D25}"/>
    <cellStyle name="60% - Ênfase6 7" xfId="235" xr:uid="{9D578623-3783-4AB0-A7AE-36D1653488E0}"/>
    <cellStyle name="60% - Ênfase6 8" xfId="236" xr:uid="{50A28C3F-9D90-4C90-946E-9B19E39EC2EB}"/>
    <cellStyle name="60% - Ênfase6 9" xfId="237" xr:uid="{CEC0E486-FD9D-4794-80FA-BD26B4B71E25}"/>
    <cellStyle name="Accent1 2" xfId="238" xr:uid="{684681DB-1632-4121-ABE2-58992A76928A}"/>
    <cellStyle name="Accent2 2" xfId="239" xr:uid="{86EE8691-30E4-4DBD-B142-0ADAA5D3CF8F}"/>
    <cellStyle name="Accent3 2" xfId="240" xr:uid="{DF52CCE7-AD98-4E91-99D8-0D661DBFFC00}"/>
    <cellStyle name="Accent4 2" xfId="241" xr:uid="{F4626755-8EA7-45D1-BEEF-7B0BC3441F8E}"/>
    <cellStyle name="Accent5 2" xfId="242" xr:uid="{CFF072DE-D5CF-4159-870D-BEF6DF5CC9B5}"/>
    <cellStyle name="Accent6 2" xfId="243" xr:uid="{B8639FC6-2437-4841-B76E-61F6046F8952}"/>
    <cellStyle name="Akcent 1" xfId="244" xr:uid="{DA289C9E-36EF-4AA9-BAB4-FAFB94828D8D}"/>
    <cellStyle name="Akcent 2" xfId="245" xr:uid="{06D92522-3809-4CE2-AB98-C68D517C5D4E}"/>
    <cellStyle name="Akcent 3" xfId="246" xr:uid="{C42ED65E-C305-42A2-9929-256EACB29A23}"/>
    <cellStyle name="Akcent 4" xfId="247" xr:uid="{42F8745B-EEF7-45CC-8273-6FCB33805EE0}"/>
    <cellStyle name="Akcent 5" xfId="248" xr:uid="{5E57F8E4-D1F4-438C-A94C-2D96A1228FBD}"/>
    <cellStyle name="Akcent 6" xfId="249" xr:uid="{F0141548-32A3-4DFB-AA3D-4F9E45A53655}"/>
    <cellStyle name="Bad 2" xfId="250" xr:uid="{F55179AD-B6C8-426F-96D5-7091CEFDAA8F}"/>
    <cellStyle name="Calculation 2" xfId="251" xr:uid="{F2D86C2B-E061-4054-B193-872C102F5FEC}"/>
    <cellStyle name="Check Cell 2" xfId="252" xr:uid="{6AF5B279-7D99-41BE-B40C-C74BFA84C19C}"/>
    <cellStyle name="Comma 12" xfId="253" xr:uid="{2FD4A9E1-64E7-4D52-B01A-E3E142AE7154}"/>
    <cellStyle name="Comma 2" xfId="13" xr:uid="{0A23C51A-FED4-4A51-9074-DCEC7C3582AE}"/>
    <cellStyle name="Comma 2 2" xfId="254" xr:uid="{FAB38E61-4CE7-44C8-A932-72FEFC0193DF}"/>
    <cellStyle name="Comma 2 2 2" xfId="255" xr:uid="{C7A66E05-FC7B-4DCD-ABFF-2BB61A0165F9}"/>
    <cellStyle name="Comma 2 2 3" xfId="256" xr:uid="{27D96F8E-E1E2-492E-9C10-B1840CB506BB}"/>
    <cellStyle name="Comma 2 2 4" xfId="257" xr:uid="{813606D1-677C-4624-95F5-5E2A5B4838C1}"/>
    <cellStyle name="Comma 2 3" xfId="258" xr:uid="{40706A9E-0C37-42EC-ADFC-66DF9ECDE8BF}"/>
    <cellStyle name="Comma 2 4" xfId="29" xr:uid="{574BA7C2-A01A-4C77-839A-EABC9209BA25}"/>
    <cellStyle name="Comma 3" xfId="259" xr:uid="{ECF1FA5F-FD29-49A6-AB8D-83CBC5F16D15}"/>
    <cellStyle name="Comma 3 2" xfId="260" xr:uid="{61A96B13-320F-4496-80B7-B912328EA62D}"/>
    <cellStyle name="Comma 4" xfId="261" xr:uid="{721430B1-8919-46EF-BF0E-E879EC265440}"/>
    <cellStyle name="Comma 4 2" xfId="262" xr:uid="{9C77FCA5-0347-42B3-A8BE-798F3CE82D74}"/>
    <cellStyle name="Comma 5" xfId="263" xr:uid="{86AAF51E-63E0-423B-B6BD-51B50DF0BB92}"/>
    <cellStyle name="Comma 6" xfId="264" xr:uid="{47333984-0861-4B41-892F-7BD222D3CE8C}"/>
    <cellStyle name="Comma 7" xfId="265" xr:uid="{7695ED80-CF81-4367-BD07-C58979692681}"/>
    <cellStyle name="Currency 2" xfId="3" xr:uid="{00000000-0005-0000-0000-000000000000}"/>
    <cellStyle name="Currency 2 2" xfId="266" xr:uid="{E8BF4684-9077-44E3-AE59-64EE4AAE2B64}"/>
    <cellStyle name="Dane wejściowe" xfId="267" xr:uid="{5C896859-88C3-4E68-8E54-5442B7F36C90}"/>
    <cellStyle name="Dane wyjściowe" xfId="268" xr:uid="{F72437D6-ED91-43D6-A3DD-232BC925B554}"/>
    <cellStyle name="Dobre" xfId="269" xr:uid="{BA1B8A9F-9201-4D2F-A199-EF9E6015BE1D}"/>
    <cellStyle name="Euro" xfId="270" xr:uid="{3F797DC5-2AE7-4139-8C0F-CD759541516A}"/>
    <cellStyle name="Explanatory Text 2" xfId="271" xr:uid="{6E3A4EC3-161A-4030-80B4-FC587EDB6E9F}"/>
    <cellStyle name="Good 2" xfId="272" xr:uid="{C3B3B6C1-D9A7-4557-B501-9F0D7CF54A36}"/>
    <cellStyle name="Heading 1 2" xfId="273" xr:uid="{76DB409A-B77F-4E1D-847E-AB57766D65DC}"/>
    <cellStyle name="Heading 2 2" xfId="274" xr:uid="{83F3F0DA-59AE-4ABA-AF27-159804BC4EC2}"/>
    <cellStyle name="Heading 3 2" xfId="275" xr:uid="{110AE656-996A-4574-BD28-97887C326E53}"/>
    <cellStyle name="Heading 4 2" xfId="276" xr:uid="{A56CC5C3-95F8-4665-A74C-F02E4D9E14C1}"/>
    <cellStyle name="Hyperlink 2" xfId="277" xr:uid="{FEEEE000-E5BB-4EFC-AA19-57FEB095D07F}"/>
    <cellStyle name="Hyperlink 3" xfId="278" xr:uid="{19D3163B-1610-4617-A4B8-8502C59D3692}"/>
    <cellStyle name="Hyperlink 4" xfId="279" xr:uid="{8A13EAA3-F19F-48B5-9A8A-AE341CC77679}"/>
    <cellStyle name="Input 2" xfId="280" xr:uid="{CFB3799D-3D4D-4940-AA7D-E3BE4CA5DFED}"/>
    <cellStyle name="Komórka połączona" xfId="281" xr:uid="{EEE53D5A-5B00-4283-AEC1-A5C8EF9D457D}"/>
    <cellStyle name="Komórka zaznaczona" xfId="282" xr:uid="{B9261454-5557-4A1F-A7B6-B35CE57572D8}"/>
    <cellStyle name="Linked Cell 2" xfId="283" xr:uid="{409259B3-EC84-485E-828D-962E406D4AE0}"/>
    <cellStyle name="Moeda [0] 2" xfId="284" xr:uid="{5C4A2EA4-9763-4C15-AE25-6E33738B1A61}"/>
    <cellStyle name="Moeda [0] 3" xfId="285" xr:uid="{C2E0350F-EF59-432A-9604-50BFEA95FD35}"/>
    <cellStyle name="Moeda 10" xfId="286" xr:uid="{00FC5733-8844-4E35-85BB-147D95146B44}"/>
    <cellStyle name="Moeda 11" xfId="287" xr:uid="{C05B9DF1-D0A2-48EA-BB11-8B2AE08D0136}"/>
    <cellStyle name="Moeda 12" xfId="288" xr:uid="{39C2F56B-BAA5-46C8-BC87-60CDBC5355B4}"/>
    <cellStyle name="Moeda 13" xfId="289" xr:uid="{011D73E6-EC89-4D84-8C73-A19696466B2B}"/>
    <cellStyle name="Moeda 14" xfId="290" xr:uid="{43D9D9D5-8BC1-40A4-B2FA-FC4EEFA009C5}"/>
    <cellStyle name="Moeda 15" xfId="291" xr:uid="{8ECF29FD-6191-4B80-9F10-A72208B5A5DB}"/>
    <cellStyle name="Moeda 16" xfId="292" xr:uid="{2CE650B8-4028-43BC-A73B-6301F783D0D4}"/>
    <cellStyle name="Moeda 17" xfId="293" xr:uid="{29220168-8A62-4D80-BC9E-B14288C47E48}"/>
    <cellStyle name="Moeda 18" xfId="294" xr:uid="{1A259E3F-1D9D-4370-A798-616A30D00AE7}"/>
    <cellStyle name="Moeda 2" xfId="295" xr:uid="{8CBB452E-02C5-4321-B870-4689D52C6E1F}"/>
    <cellStyle name="Moeda 2 2" xfId="296" xr:uid="{98A7F831-FE4F-43F6-8314-EE78A5EE89DC}"/>
    <cellStyle name="Moeda 3" xfId="297" xr:uid="{1E1DAD44-05CB-48BD-94BB-1B852A567A3D}"/>
    <cellStyle name="Moeda 3 2" xfId="298" xr:uid="{622DF808-DA81-45FE-B51B-79D75B24BEF7}"/>
    <cellStyle name="Moeda 4" xfId="299" xr:uid="{83C22332-69C7-4101-808B-F0649EEDF0CD}"/>
    <cellStyle name="Moeda 5" xfId="300" xr:uid="{F6BD6A41-B3BB-4C0D-ADA3-27B55F4550B2}"/>
    <cellStyle name="Moeda 6" xfId="301" xr:uid="{254D79FA-CC61-4962-81B0-D3DB2B5008A3}"/>
    <cellStyle name="Moeda 7" xfId="302" xr:uid="{CD9D7E34-F795-48D5-94A2-2A6A9AA75371}"/>
    <cellStyle name="Moeda 8" xfId="303" xr:uid="{128B35C5-E12B-4B13-865E-D91D47AFFF7F}"/>
    <cellStyle name="Moeda 9" xfId="304" xr:uid="{7DD21FB7-1331-4635-931E-A231C3251907}"/>
    <cellStyle name="Nagłówek 1" xfId="305" xr:uid="{BF436B1D-DC20-45DB-A5FD-B53B3899E7F0}"/>
    <cellStyle name="Nagłówek 2" xfId="306" xr:uid="{C6C23436-DE77-43E4-9E95-A85F5E173245}"/>
    <cellStyle name="Nagłówek 3" xfId="307" xr:uid="{324DB06C-BA3D-4941-977D-3428FA75874E}"/>
    <cellStyle name="Nagłówek 4" xfId="308" xr:uid="{94A303D2-3AFD-4563-81C7-B05D112CA0F8}"/>
    <cellStyle name="Neutral 2" xfId="309" xr:uid="{6A3E7D10-3427-4F8D-BCE6-DB616F296404}"/>
    <cellStyle name="Neutralne" xfId="310" xr:uid="{4A28B596-2E60-4F64-B1EE-90239985D90E}"/>
    <cellStyle name="Normal" xfId="0" builtinId="0"/>
    <cellStyle name="Normal - Style1 2" xfId="311" xr:uid="{3BC7CCC7-86DA-4893-A725-10F637EBFBBB}"/>
    <cellStyle name="Normal 10" xfId="312" xr:uid="{8459B82B-61D1-41EA-BFFD-F36A18EE6048}"/>
    <cellStyle name="Normal 10 2" xfId="313" xr:uid="{10C04D55-1B16-47F4-8BB5-C33EA2D7B8D8}"/>
    <cellStyle name="Normal 10 2 2" xfId="25" xr:uid="{AA3386A9-E5DF-437F-A032-85E23DFFCFBA}"/>
    <cellStyle name="Normal 10 3" xfId="314" xr:uid="{7A3D2939-A5F0-41A9-B7C3-90BA64F427AE}"/>
    <cellStyle name="Normal 10 4" xfId="315" xr:uid="{61E45126-A3EF-4086-B93F-0F89BEB2B29B}"/>
    <cellStyle name="Normal 10 5" xfId="316" xr:uid="{03CF181D-AC56-470E-B9B1-8386DED0FC26}"/>
    <cellStyle name="Normal 11" xfId="317" xr:uid="{98B62B78-1B6F-4EB2-ADC6-0A729199A4CE}"/>
    <cellStyle name="Normal 115" xfId="318" xr:uid="{AF46BF80-F5DD-4DE4-8CDB-2244E605599E}"/>
    <cellStyle name="Normal 12" xfId="319" xr:uid="{85464BD5-5B9F-4978-9EF2-545FCFDB0439}"/>
    <cellStyle name="Normal 13" xfId="320" xr:uid="{95378336-B15A-444B-87BB-7FD7A4422C37}"/>
    <cellStyle name="Normal 13 2 2" xfId="321" xr:uid="{BDDAAE68-291F-49C4-AF40-F1251CE09861}"/>
    <cellStyle name="Normal 13 2 2 2" xfId="322" xr:uid="{C655365F-72EB-4387-B8C3-4D82993C7A56}"/>
    <cellStyle name="Normal 14" xfId="323" xr:uid="{4E34EF74-1742-4EEB-A05C-802CB7C459CB}"/>
    <cellStyle name="Normal 15" xfId="324" xr:uid="{5EB4AF76-F067-438A-9977-9580B176CE45}"/>
    <cellStyle name="Normal 16" xfId="325" xr:uid="{5BA716CB-23AE-48EF-8693-043E02556297}"/>
    <cellStyle name="Normal 17" xfId="326" xr:uid="{AAB6801D-5FB4-4009-A88B-F094C39A8EB6}"/>
    <cellStyle name="Normal 18" xfId="327" xr:uid="{86C9F97C-E9D3-440B-9D3B-599B53C6165F}"/>
    <cellStyle name="Normal 19" xfId="328" xr:uid="{ADBF6EB7-5E65-4C28-87F7-B92B8B5C65E5}"/>
    <cellStyle name="Normal 2" xfId="4" xr:uid="{00000000-0005-0000-0000-000002000000}"/>
    <cellStyle name="Normal 2 153" xfId="329" xr:uid="{8B3C6243-868C-4EDA-96DF-E1AB57FEB890}"/>
    <cellStyle name="Normal 2 2" xfId="10" xr:uid="{A787FC7F-B7C0-4668-9956-ACFAB9D8AB73}"/>
    <cellStyle name="Normal 2 2 10 2" xfId="27" xr:uid="{EC3BAA36-C8E3-4455-A50E-A25AA878D4CB}"/>
    <cellStyle name="Normal 2 2 2" xfId="330" xr:uid="{FFD1C028-28D9-4C33-B16B-82273112BB85}"/>
    <cellStyle name="Normal 2 2 3" xfId="331" xr:uid="{DB1AAB47-FDBD-4FFE-B645-723F5A3928A1}"/>
    <cellStyle name="Normal 2 2 4" xfId="332" xr:uid="{F17513F1-D985-475E-A226-383AC80421F5}"/>
    <cellStyle name="Normal 2 3" xfId="333" xr:uid="{DC619900-9832-4AB7-BB8F-E847E5A7DF38}"/>
    <cellStyle name="Normal 2 4" xfId="334" xr:uid="{0AA0C429-9F09-4121-A9E9-BA45B645644E}"/>
    <cellStyle name="Normal 2 5" xfId="335" xr:uid="{69DC317D-AD3B-436B-A47C-D79636B2939C}"/>
    <cellStyle name="Normal 2 6" xfId="336" xr:uid="{4D2A68F0-030C-44DA-9886-DA0D712E2383}"/>
    <cellStyle name="Normal 2 7" xfId="12" xr:uid="{FFFF9241-B896-448D-AB60-41A73D074584}"/>
    <cellStyle name="Normal 2_DRE" xfId="337" xr:uid="{3A44A26E-75D7-4081-8555-2ACE120F2043}"/>
    <cellStyle name="Normal 20" xfId="338" xr:uid="{9194950C-47A7-4832-B1B3-B78A1D2C7DBB}"/>
    <cellStyle name="Normal 21" xfId="339" xr:uid="{29A94EEB-2EA7-4119-B575-52FA7C1C12AC}"/>
    <cellStyle name="Normal 22" xfId="340" xr:uid="{B35FEBFF-09F5-4E07-A9E3-F47DCB0E6A3E}"/>
    <cellStyle name="Normal 23" xfId="341" xr:uid="{01672E28-167E-4DF9-9499-ADE213F789E4}"/>
    <cellStyle name="Normal 24" xfId="342" xr:uid="{E2F71AE9-90A6-4210-AFA2-DC38F5493175}"/>
    <cellStyle name="Normal 25" xfId="343" xr:uid="{43A04C76-B352-466B-A874-7EE33B5965AB}"/>
    <cellStyle name="Normal 26" xfId="344" xr:uid="{799A041A-2E14-45DE-84F5-5598061FE380}"/>
    <cellStyle name="Normal 27" xfId="345" xr:uid="{4B8D2029-2C80-46FB-8AA1-220381E1CA2F}"/>
    <cellStyle name="Normal 28" xfId="346" xr:uid="{CC055111-CD64-4BA6-819F-7D5FEDE72C94}"/>
    <cellStyle name="Normal 29" xfId="347" xr:uid="{E0E697CC-DA11-4988-87D5-D6FF12231E09}"/>
    <cellStyle name="Normal 3" xfId="14" xr:uid="{9C3794A6-D478-4B5B-BA0C-69478B87C933}"/>
    <cellStyle name="Normal 3 2" xfId="18" xr:uid="{FBC61B3D-3DD1-42FE-AA5E-68A41767AD7A}"/>
    <cellStyle name="Normal 3 2 2" xfId="348" xr:uid="{D227A2A9-887B-49ED-8D7E-D2A284F1EB7A}"/>
    <cellStyle name="Normal 3 2 2 2" xfId="349" xr:uid="{2C14B69C-0673-47A8-BE06-57A749FAA9C9}"/>
    <cellStyle name="Normal 3 2 3" xfId="350" xr:uid="{5BC1E669-A872-4C86-9586-9369B3183531}"/>
    <cellStyle name="Normal 3 3" xfId="32" xr:uid="{C1078A07-E46C-46FA-925A-A3E1E727BD8F}"/>
    <cellStyle name="Normal 3 4" xfId="351" xr:uid="{669F5774-08F6-410F-A9C8-B3A1C9FC8B8A}"/>
    <cellStyle name="Normal 3_DRE" xfId="352" xr:uid="{D28E3A62-2C3E-40BE-9C68-1853D1AF55B1}"/>
    <cellStyle name="Normal 30" xfId="353" xr:uid="{ED8C8514-7705-4E93-95A5-7FBC231D0B07}"/>
    <cellStyle name="Normal 31" xfId="354" xr:uid="{F3295205-D479-4360-B073-D5F0443EFDBC}"/>
    <cellStyle name="Normal 32" xfId="355" xr:uid="{90A6D825-B5FD-44E7-BBFF-E1C8764DDF93}"/>
    <cellStyle name="Normal 33" xfId="356" xr:uid="{E823B00C-F7AB-4334-AEE9-D2D736879676}"/>
    <cellStyle name="Normal 34" xfId="357" xr:uid="{BAFF1314-F8CA-4D04-8519-8463F8A60B98}"/>
    <cellStyle name="Normal 35" xfId="358" xr:uid="{AAD7C811-070C-4A65-BFF8-FF1D7095872F}"/>
    <cellStyle name="Normal 36" xfId="359" xr:uid="{23635CA0-2398-4BD8-8902-F8D5B8B9AB25}"/>
    <cellStyle name="Normal 37" xfId="360" xr:uid="{AB7F27CB-A5B9-4085-8C24-FEC3E2E30129}"/>
    <cellStyle name="Normal 38" xfId="361" xr:uid="{6456096C-EC02-4675-B3BE-C66C47FCCD42}"/>
    <cellStyle name="Normal 39" xfId="362" xr:uid="{4AFB6A42-AE80-49D3-A1D3-8CE7F4C6609E}"/>
    <cellStyle name="Normal 4" xfId="6" xr:uid="{15A42758-4727-4614-A7F0-8793355A3B09}"/>
    <cellStyle name="Normal 4 2" xfId="363" xr:uid="{CEF4A6A6-1F20-4767-B174-6129E4A3507D}"/>
    <cellStyle name="Normal 4 3" xfId="472" xr:uid="{D64E5B66-2454-4DCE-B1FE-680075BDBE1B}"/>
    <cellStyle name="Normal 4 4" xfId="485" xr:uid="{8AF4BAD0-FD4C-4B91-9F57-F8D2947C5D03}"/>
    <cellStyle name="Normal 40" xfId="364" xr:uid="{C17B02D0-D0FD-4AAD-90C7-0D7C2F92D2C0}"/>
    <cellStyle name="Normal 41" xfId="365" xr:uid="{37CDEF08-8C83-4745-91D9-9833685D46B5}"/>
    <cellStyle name="Normal 42" xfId="366" xr:uid="{DDD07DCE-0F25-4682-92B1-14433E040D4D}"/>
    <cellStyle name="Normal 43" xfId="367" xr:uid="{5BA28F89-975C-425E-88CF-F4EFB602E153}"/>
    <cellStyle name="Normal 44" xfId="368" xr:uid="{19277EEA-3F4D-4B2C-A3C5-D81D196CE683}"/>
    <cellStyle name="Normal 45" xfId="369" xr:uid="{9A4950F1-28E8-4A81-9700-FD6A368903F1}"/>
    <cellStyle name="Normal 46" xfId="370" xr:uid="{30B6A09C-D380-4360-AA88-DA396D0CD041}"/>
    <cellStyle name="Normal 47" xfId="371" xr:uid="{D80ABE09-532E-45AA-8A69-908DB61AC86E}"/>
    <cellStyle name="Normal 48" xfId="372" xr:uid="{835F732C-0F69-4129-9724-7EB957A6E885}"/>
    <cellStyle name="Normal 49" xfId="469" xr:uid="{02035F93-76B5-4875-AA7D-084DF2D907C4}"/>
    <cellStyle name="Normal 5" xfId="21" xr:uid="{9309AB10-3940-4326-B242-0DDDE2977FE3}"/>
    <cellStyle name="Normal 50" xfId="470" xr:uid="{B3A8A38B-9590-466C-AED9-9434222AD2C8}"/>
    <cellStyle name="Normal 51" xfId="481" xr:uid="{E40D9B6D-6A09-4857-A3EC-7FCBC298DCC4}"/>
    <cellStyle name="Normal 52" xfId="486" xr:uid="{F7657F4F-C5CD-419C-B19B-1D5B966A73C1}"/>
    <cellStyle name="Normal 53" xfId="489" xr:uid="{C2E8C04D-95D9-462A-AAB7-D3176774093C}"/>
    <cellStyle name="Normal 54" xfId="490" xr:uid="{0A245B13-EE95-4C9C-AD17-918AD8952DFC}"/>
    <cellStyle name="Normal 55" xfId="491" xr:uid="{A0FD0368-6971-42C0-9806-D15AF7DF74E9}"/>
    <cellStyle name="Normal 56" xfId="7" xr:uid="{5BC95BD5-F1F9-4D43-8510-F3C6F8797B18}"/>
    <cellStyle name="Normal 57" xfId="492" xr:uid="{CD326D85-DBD6-4C71-ADA9-C46FEA1FAC60}"/>
    <cellStyle name="Normal 6" xfId="22" xr:uid="{CBE379D5-F992-4DC0-BDA8-A50729D7C886}"/>
    <cellStyle name="Normal 6 2" xfId="5" xr:uid="{00000000-0005-0000-0000-000003000000}"/>
    <cellStyle name="Normal 6 3" xfId="26" xr:uid="{933014E8-F26F-4C74-A8C8-8F7E7D503879}"/>
    <cellStyle name="Normal 6 4" xfId="373" xr:uid="{B3597565-6A4E-4831-B65B-CC93905144C4}"/>
    <cellStyle name="Normal 6 4 2" xfId="374" xr:uid="{C6B6134C-02FA-4AA1-BF5E-BEA594FEC965}"/>
    <cellStyle name="Normal 6 5" xfId="375" xr:uid="{45197CA7-49B1-40FD-A899-829168DE0B6C}"/>
    <cellStyle name="Normal 6 6" xfId="474" xr:uid="{FFD273AA-1499-4FC6-876B-5A1F6F6BDEF2}"/>
    <cellStyle name="Normal 65" xfId="376" xr:uid="{A9B8F86D-A5B8-485C-B3FF-3F9A4AC8B2F8}"/>
    <cellStyle name="Normal 7" xfId="23" xr:uid="{5049BBD9-4C19-46D1-987D-2D2187CEFA6A}"/>
    <cellStyle name="Normal 7 2" xfId="377" xr:uid="{D112E93C-742B-481F-ADAE-CF9B8D8164A4}"/>
    <cellStyle name="Normal 7 2 2" xfId="473" xr:uid="{4A216D57-CBE0-4C77-97BE-92B800CFE294}"/>
    <cellStyle name="Normal 7 3" xfId="378" xr:uid="{4316D9D6-B4B0-45BF-BA53-516B46359114}"/>
    <cellStyle name="Normal 7 3 2" xfId="379" xr:uid="{901EC94A-A9D3-4E0C-8667-B758ED5EBD6B}"/>
    <cellStyle name="Normal 7 4" xfId="380" xr:uid="{E5535D9C-7923-41B5-85F0-47D1A7165FEA}"/>
    <cellStyle name="Normal 7 5" xfId="381" xr:uid="{9E1E94F8-10B3-414F-9E1E-8307AB8FB2B4}"/>
    <cellStyle name="Normal 7 6" xfId="483" xr:uid="{6B783774-5F25-4A3F-9A01-4CFC70DD75B1}"/>
    <cellStyle name="Normal 8" xfId="28" xr:uid="{A973CA9A-B84B-4900-81AC-4348B29882C9}"/>
    <cellStyle name="Normal 8 17" xfId="382" xr:uid="{BD0C04AC-7281-4050-A22E-28C9DD0A51D5}"/>
    <cellStyle name="Normal 9" xfId="383" xr:uid="{AEA71C56-7406-4A85-BDC2-948B1BD4FAA2}"/>
    <cellStyle name="Nota 10" xfId="384" xr:uid="{6C6F88FC-56A9-4C61-88BB-F9C3B64FE87C}"/>
    <cellStyle name="Nota 11" xfId="385" xr:uid="{F06A4533-208E-488F-A961-CB518EE50371}"/>
    <cellStyle name="Nota 12" xfId="386" xr:uid="{51066C91-FCA1-4DF9-8C67-C30F165486A5}"/>
    <cellStyle name="Nota 13" xfId="387" xr:uid="{6E3A2633-A8A0-439A-B920-0F98AECB0B68}"/>
    <cellStyle name="Nota 14" xfId="388" xr:uid="{27DD915F-5920-490A-AAF6-624D0B5ECDF5}"/>
    <cellStyle name="Nota 15" xfId="389" xr:uid="{9610F950-E624-4AFD-A837-5DCB6EB372CD}"/>
    <cellStyle name="Nota 16" xfId="390" xr:uid="{A536CB6A-33FD-4A35-B6DB-586C6467E0A1}"/>
    <cellStyle name="Nota 17" xfId="391" xr:uid="{712B4710-625A-4EE3-8440-C53E499070A1}"/>
    <cellStyle name="Nota 18" xfId="392" xr:uid="{242C108F-AF9C-419E-A8E0-62B0D2A0910A}"/>
    <cellStyle name="Nota 19" xfId="393" xr:uid="{1C774BB7-1CAE-4924-BCAB-CC1B4E128175}"/>
    <cellStyle name="Nota 2" xfId="394" xr:uid="{522234FB-08AC-4025-9B3B-9814012910DB}"/>
    <cellStyle name="Nota 20" xfId="395" xr:uid="{EF551A3F-A38E-4C0B-A94C-50302BB12835}"/>
    <cellStyle name="Nota 21" xfId="396" xr:uid="{FC155927-6E56-4030-B103-2B738B4E5A59}"/>
    <cellStyle name="Nota 22" xfId="397" xr:uid="{D04F9F16-C085-4D01-A50B-3E997E91F393}"/>
    <cellStyle name="Nota 3" xfId="398" xr:uid="{83AA550F-BC7C-4D6F-ABF1-CA197E2968F6}"/>
    <cellStyle name="Nota 4" xfId="399" xr:uid="{9FE6088D-05FA-4935-8A99-3C64E953B5C8}"/>
    <cellStyle name="Nota 5" xfId="400" xr:uid="{9172B43D-FCDC-4B91-8E22-6C4AB2BC0B6F}"/>
    <cellStyle name="Nota 6" xfId="401" xr:uid="{E5B53579-F226-46DD-A0B0-540059A88CAA}"/>
    <cellStyle name="Nota 7" xfId="402" xr:uid="{5E610D02-05E1-45C2-885A-80397E812C2F}"/>
    <cellStyle name="Nota 8" xfId="403" xr:uid="{59113BFC-74AD-4963-90BE-5C7DB239A266}"/>
    <cellStyle name="Nota 9" xfId="404" xr:uid="{7D56F57F-16C0-4886-BD99-22BC7970A149}"/>
    <cellStyle name="Note 2" xfId="405" xr:uid="{957D7239-0EAB-4F14-92DB-1E832F91570E}"/>
    <cellStyle name="Obliczenia" xfId="406" xr:uid="{AAFD2ECF-1BF9-4DA3-9614-0D1A8E1947EB}"/>
    <cellStyle name="Output 2" xfId="407" xr:uid="{F1E7853A-FA36-47F9-AC20-0F20B8A07A88}"/>
    <cellStyle name="Percent 2" xfId="408" xr:uid="{FD6BF530-9370-4803-8076-672155DDB55D}"/>
    <cellStyle name="Percent 2 2" xfId="409" xr:uid="{A127C923-34DB-4888-A1A9-84357A878191}"/>
    <cellStyle name="Percent 3" xfId="410" xr:uid="{FEE85555-8DAE-4414-9841-FC7DD9B9E0EC}"/>
    <cellStyle name="Porcentagem" xfId="2" builtinId="5"/>
    <cellStyle name="Porcentagem 2" xfId="411" xr:uid="{88EB5F70-DD3A-4DD7-8D82-7FC3657C3952}"/>
    <cellStyle name="Porcentagem 2 2" xfId="412" xr:uid="{8BA07B83-F5BE-48AC-BD5C-292E308FA4B9}"/>
    <cellStyle name="Porcentagem 2 3" xfId="478" xr:uid="{BD5382C0-B2DF-4ABC-B59A-7CF46DB3C3E9}"/>
    <cellStyle name="Porcentagem 3" xfId="413" xr:uid="{727323C6-3570-425B-9B53-AF609D257059}"/>
    <cellStyle name="Porcentagem 3 2" xfId="414" xr:uid="{5EC7A7CD-09A8-4314-A35A-D498F92628E2}"/>
    <cellStyle name="Porcentagem 4" xfId="415" xr:uid="{964DCCB6-3372-4877-90BA-8B0343FF1F42}"/>
    <cellStyle name="Porcentagem 4 2" xfId="416" xr:uid="{1D9B5BD7-CADD-4B17-96AC-F49670149713}"/>
    <cellStyle name="Porcentagem 5" xfId="417" xr:uid="{59B7F054-2683-4210-B967-20C08F4E3A4D}"/>
    <cellStyle name="Porcentagem 6" xfId="418" xr:uid="{BE6FF52C-54ED-47AB-873D-2B0666277116}"/>
    <cellStyle name="Porcentagem 7" xfId="419" xr:uid="{D5D78C06-866B-4692-AB10-B2BDB847D679}"/>
    <cellStyle name="Porcentagem 8" xfId="488" xr:uid="{9719292B-15E8-4850-8BEC-D007B24F4744}"/>
    <cellStyle name="Porcentagem 9" xfId="20" xr:uid="{AF06578D-1A4D-4FD3-B9ED-3CC698EEBE1D}"/>
    <cellStyle name="Separador de milhares [0] 2" xfId="420" xr:uid="{07C09C36-96D8-42B0-B5FF-F7723E6FC727}"/>
    <cellStyle name="Separador de milhares [0] 3" xfId="421" xr:uid="{6FEBD0E1-7541-4E57-89D7-BEE1272447B9}"/>
    <cellStyle name="Separador de milhares 10" xfId="422" xr:uid="{C48D730D-4FD0-4F8D-9076-30827D706B95}"/>
    <cellStyle name="Separador de milhares 11" xfId="423" xr:uid="{297FCDB1-0C05-4A02-9759-94EF5F3A59F2}"/>
    <cellStyle name="Separador de milhares 12" xfId="424" xr:uid="{36C66D1B-3A83-4F27-9B42-F34FBEA30C67}"/>
    <cellStyle name="Separador de milhares 13" xfId="425" xr:uid="{FC16E54A-4F14-4E9A-AF40-297127F8379D}"/>
    <cellStyle name="Separador de milhares 14" xfId="426" xr:uid="{B203F69F-9C07-48F0-A4AF-79B62C3070E9}"/>
    <cellStyle name="Separador de milhares 15" xfId="427" xr:uid="{A8A9850A-40A9-44EB-8427-115AF7FCF614}"/>
    <cellStyle name="Separador de milhares 16" xfId="428" xr:uid="{B3D3D603-651E-4009-8DB3-E5C2CC28F3F5}"/>
    <cellStyle name="Separador de milhares 17" xfId="429" xr:uid="{C1C5B07B-ACD8-4749-9921-582FB25603B4}"/>
    <cellStyle name="Separador de milhares 18" xfId="430" xr:uid="{1E347C2E-292F-4CDE-AAA4-8654E93B707C}"/>
    <cellStyle name="Separador de milhares 19" xfId="431" xr:uid="{D4A6A6B8-30E2-4D77-B963-3456038438A4}"/>
    <cellStyle name="Separador de milhares 2" xfId="9" xr:uid="{8F0E4833-C6E8-4943-88F8-ACF905717993}"/>
    <cellStyle name="Separador de milhares 2 2" xfId="11" xr:uid="{BB1A3602-88D0-4CE2-89EA-7E3C905B8059}"/>
    <cellStyle name="Separador de milhares 2 2 2" xfId="476" xr:uid="{CD14604B-2CDC-4AE1-AF33-29B50C881DD8}"/>
    <cellStyle name="Separador de milhares 20" xfId="432" xr:uid="{DB71EDD6-EE88-45FB-92A7-5FA9EC1EC4BA}"/>
    <cellStyle name="Separador de milhares 21" xfId="433" xr:uid="{742DFD68-DB0A-4F98-B18C-AD229BCB8CA2}"/>
    <cellStyle name="Separador de milhares 22" xfId="434" xr:uid="{7029FC33-C733-4D9C-8F0C-6C9062EB754C}"/>
    <cellStyle name="Separador de milhares 23" xfId="435" xr:uid="{3FEAAAD7-8448-4C01-93B9-551748F00D96}"/>
    <cellStyle name="Separador de milhares 3" xfId="15" xr:uid="{3207FE62-0F88-4558-91EB-7050C9D940EC}"/>
    <cellStyle name="Separador de milhares 4" xfId="24" xr:uid="{CED776CC-E061-4663-BFBB-D8FB9E42BED4}"/>
    <cellStyle name="Separador de milhares 4 2" xfId="484" xr:uid="{BDB0F149-D09F-4EC5-95B4-3CA68BA82446}"/>
    <cellStyle name="Separador de milhares 5" xfId="30" xr:uid="{79B5FF42-0B4A-416D-8219-32FC6660AEA1}"/>
    <cellStyle name="Separador de milhares 5 2" xfId="479" xr:uid="{C5D22566-33FB-42C9-A8BB-3D62A891E2B0}"/>
    <cellStyle name="Separador de milhares 6" xfId="31" xr:uid="{91BF1BE8-9E6A-4205-BAB0-2900E043E233}"/>
    <cellStyle name="Separador de milhares 7" xfId="436" xr:uid="{F4CE86D5-768B-43B0-A77E-78E42BF9D0CB}"/>
    <cellStyle name="Separador de milhares 8" xfId="437" xr:uid="{1CC51F62-886F-4AC2-8773-6AA2A7952EA5}"/>
    <cellStyle name="Separador de milhares 9" xfId="438" xr:uid="{137C7249-A6F9-488D-842C-B588402954A6}"/>
    <cellStyle name="Suma" xfId="439" xr:uid="{353D818C-E668-4EE8-9C5F-2F9D816F4F78}"/>
    <cellStyle name="Tekst objaśnienia" xfId="440" xr:uid="{D512252D-760D-40DA-A576-D22FBEC65211}"/>
    <cellStyle name="Tekst ostrzeżenia" xfId="441" xr:uid="{86760AA0-35E9-433C-B6FA-2D0A821372F6}"/>
    <cellStyle name="Título 1 1" xfId="442" xr:uid="{6C2A040C-4403-48C3-94EA-5273F3383E73}"/>
    <cellStyle name="Total 2" xfId="443" xr:uid="{A3E5B5AE-DF2E-4AF5-936E-AE99C532CD37}"/>
    <cellStyle name="Tytuł" xfId="444" xr:uid="{517205CE-F74C-496D-A750-46E1A8BB3A7A}"/>
    <cellStyle name="Unprotect" xfId="445" xr:uid="{0B1CD074-DCCF-4011-94BE-CF0B72B1BE41}"/>
    <cellStyle name="Uwaga" xfId="446" xr:uid="{C183DBB3-ECCF-4F63-ADE6-258BE3BA961E}"/>
    <cellStyle name="Vírgula" xfId="1" builtinId="3"/>
    <cellStyle name="Vírgula 10" xfId="447" xr:uid="{2740179D-AFF6-4AE1-85D4-D5132221FAF2}"/>
    <cellStyle name="Vírgula 11" xfId="448" xr:uid="{B3E5D63C-743E-407C-92FB-82913EC7BE18}"/>
    <cellStyle name="Vírgula 12" xfId="449" xr:uid="{C35252EC-27C3-4C70-A298-A74E363A5328}"/>
    <cellStyle name="Vírgula 13" xfId="450" xr:uid="{2E42BDB3-1EC6-4177-8A63-50D4CFF47E1C}"/>
    <cellStyle name="Vírgula 14" xfId="451" xr:uid="{5B409319-6967-436D-B120-99D3694B7542}"/>
    <cellStyle name="Vírgula 15" xfId="452" xr:uid="{F33B125A-3B05-40EA-ABE7-3EC43E598750}"/>
    <cellStyle name="Vírgula 16" xfId="453" xr:uid="{D52C0A8A-5862-4C27-A412-7F71F39D4509}"/>
    <cellStyle name="Vírgula 17" xfId="471" xr:uid="{B33E624F-D0E4-49BE-9939-806B2F8E39C1}"/>
    <cellStyle name="Vírgula 18" xfId="482" xr:uid="{E017425E-A2A8-4806-BEE3-F6A378480BC5}"/>
    <cellStyle name="Vírgula 19" xfId="487" xr:uid="{5CCF74D0-FC68-41C1-AC15-24E9B1C6BB3F}"/>
    <cellStyle name="Vírgula 2" xfId="17" xr:uid="{9C9D210E-7705-419F-A748-3BD4AB40D1E5}"/>
    <cellStyle name="Vírgula 2 2" xfId="16" xr:uid="{0CABC131-1508-4021-B43F-9DC350619AD2}"/>
    <cellStyle name="Vírgula 2 3" xfId="19" xr:uid="{3742C86E-1ACC-4EDE-A861-F0B7C7697D92}"/>
    <cellStyle name="Vírgula 2 4" xfId="454" xr:uid="{84441E1B-C76B-4C20-834E-5C32F8201B0F}"/>
    <cellStyle name="Vírgula 2 5" xfId="480" xr:uid="{70931228-E28D-4BA1-9988-5F8521965458}"/>
    <cellStyle name="Vírgula 20" xfId="8" xr:uid="{BC96AF14-29DC-4902-A17C-DD2690BC68E8}"/>
    <cellStyle name="Vírgula 3" xfId="455" xr:uid="{1133ECA3-4BC3-4FF8-9BCA-4DA12C4B25D9}"/>
    <cellStyle name="Vírgula 3 2" xfId="456" xr:uid="{75053ABF-2E6B-4555-9623-35C1BE4A5DA2}"/>
    <cellStyle name="Vírgula 3 3" xfId="475" xr:uid="{25B3E14B-82CF-48F5-895A-52BBCDA622B3}"/>
    <cellStyle name="Vírgula 3 5" xfId="457" xr:uid="{CEFDA269-A870-41E5-88CA-42C999ACF139}"/>
    <cellStyle name="Vírgula 4" xfId="458" xr:uid="{8E4E39CC-824F-4279-9177-CECDBFE5CA82}"/>
    <cellStyle name="Vírgula 4 2" xfId="459" xr:uid="{A2F003CA-E4C2-47E3-92C0-3C1F80420D5C}"/>
    <cellStyle name="Vírgula 5" xfId="460" xr:uid="{29D5260C-488F-4713-B2E5-DFA9676648DF}"/>
    <cellStyle name="Vírgula 5 2" xfId="461" xr:uid="{D2D785A7-0737-47EF-AD77-7F3585A6E551}"/>
    <cellStyle name="Vírgula 5 3" xfId="477" xr:uid="{2B4A0B40-761B-4AF5-9BD9-DE4188866ADD}"/>
    <cellStyle name="Vírgula 6" xfId="462" xr:uid="{0967426B-E19A-400C-9BD8-C08CA4D069E7}"/>
    <cellStyle name="Vírgula 7" xfId="463" xr:uid="{472E2098-76BB-430B-A2EE-D0CB303528BC}"/>
    <cellStyle name="Vírgula 8" xfId="464" xr:uid="{1A1884C5-1FC0-4690-BA0A-B8C692C8D25F}"/>
    <cellStyle name="Vírgula 8 2" xfId="465" xr:uid="{A75243DA-92EA-415F-883E-3C757DC310D9}"/>
    <cellStyle name="Vírgula 9" xfId="466" xr:uid="{B9E2C8A1-6975-48E7-8B5C-E122DB3D8DFD}"/>
    <cellStyle name="Warning Text 2" xfId="467" xr:uid="{B94FA1D3-1E72-4867-8F69-99A0170D7001}"/>
    <cellStyle name="Złe" xfId="468" xr:uid="{1D28181A-97FF-4154-AE72-083CDE3F41C7}"/>
  </cellStyles>
  <dxfs count="0"/>
  <tableStyles count="0" defaultTableStyle="TableStyleMedium2" defaultPivotStyle="PivotStyleLight16"/>
  <colors>
    <mruColors>
      <color rgb="FF198F83"/>
      <color rgb="FFFFFFCC"/>
      <color rgb="FF1D492B"/>
      <color rgb="FF1E83C7"/>
      <color rgb="FFF38223"/>
      <color rgb="FFEE402F"/>
      <color rgb="FFEE542F"/>
      <color rgb="FF0053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152653</xdr:colOff>
      <xdr:row>1</xdr:row>
      <xdr:rowOff>4403</xdr:rowOff>
    </xdr:from>
    <xdr:to>
      <xdr:col>1</xdr:col>
      <xdr:colOff>2569651</xdr:colOff>
      <xdr:row>4</xdr:row>
      <xdr:rowOff>14732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EBDC517-9A55-4A11-A7E3-82BA66E49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724" y="140474"/>
          <a:ext cx="2416998" cy="5662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154214</xdr:colOff>
      <xdr:row>1</xdr:row>
      <xdr:rowOff>81643</xdr:rowOff>
    </xdr:from>
    <xdr:to>
      <xdr:col>1</xdr:col>
      <xdr:colOff>2571212</xdr:colOff>
      <xdr:row>4</xdr:row>
      <xdr:rowOff>109963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39BA048-E072-4DE3-983A-8C1FB0CC2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285" y="217714"/>
          <a:ext cx="2416998" cy="566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42484-F744-4697-A40E-0D22BAC16644}">
  <sheetPr>
    <tabColor rgb="FF198F83"/>
    <outlinePr summaryBelow="0"/>
  </sheetPr>
  <dimension ref="B3:AM217"/>
  <sheetViews>
    <sheetView showGridLines="0" tabSelected="1" zoomScale="96" zoomScaleNormal="96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K8" sqref="K8"/>
    </sheetView>
  </sheetViews>
  <sheetFormatPr defaultColWidth="10.5703125" defaultRowHeight="17.100000000000001" customHeight="1" outlineLevelCol="1"/>
  <cols>
    <col min="1" max="1" width="2" style="1" customWidth="1"/>
    <col min="2" max="2" width="71.5703125" style="1" customWidth="1"/>
    <col min="3" max="3" width="1.7109375" style="1" customWidth="1"/>
    <col min="4" max="7" width="16.7109375" style="1" hidden="1" customWidth="1" outlineLevel="1"/>
    <col min="8" max="8" width="16.7109375" style="1" customWidth="1" collapsed="1"/>
    <col min="9" max="12" width="16.7109375" style="1" customWidth="1"/>
    <col min="13" max="13" width="1.5703125" customWidth="1"/>
    <col min="14" max="15" width="16.7109375" hidden="1" customWidth="1" outlineLevel="1"/>
    <col min="16" max="21" width="16.7109375" style="1" hidden="1" customWidth="1" outlineLevel="1"/>
    <col min="22" max="22" width="16.7109375" hidden="1" customWidth="1" outlineLevel="1" collapsed="1"/>
    <col min="23" max="23" width="16.7109375" hidden="1" customWidth="1" outlineLevel="1"/>
    <col min="24" max="25" width="16.7109375" style="1" hidden="1" customWidth="1" outlineLevel="1"/>
    <col min="26" max="26" width="16.7109375" style="1" customWidth="1" collapsed="1"/>
    <col min="27" max="32" width="16.7109375" style="1" customWidth="1"/>
    <col min="33" max="33" width="11.85546875" style="1" customWidth="1"/>
    <col min="34" max="37" width="12.42578125" style="1" customWidth="1"/>
    <col min="38" max="38" width="11.140625" style="1" bestFit="1" customWidth="1"/>
    <col min="39" max="39" width="12.42578125" bestFit="1" customWidth="1"/>
    <col min="40" max="16384" width="10.5703125" style="1"/>
  </cols>
  <sheetData>
    <row r="3" spans="2:39" customFormat="1" ht="15">
      <c r="B3" s="1"/>
      <c r="C3" s="1"/>
      <c r="D3" s="11"/>
      <c r="H3" s="11" t="s">
        <v>174</v>
      </c>
      <c r="AA3" s="96"/>
    </row>
    <row r="4" spans="2:39" ht="15">
      <c r="D4" s="11"/>
      <c r="H4" s="11" t="s">
        <v>175</v>
      </c>
      <c r="M4" s="1"/>
      <c r="N4" s="1"/>
      <c r="O4" s="1"/>
      <c r="V4" s="1"/>
      <c r="W4" s="1"/>
      <c r="Z4"/>
      <c r="AA4" s="96"/>
      <c r="AB4" s="95"/>
    </row>
    <row r="5" spans="2:39" ht="15">
      <c r="D5" s="43"/>
      <c r="E5" s="43"/>
      <c r="F5" s="43"/>
      <c r="G5" s="43"/>
      <c r="H5" s="43"/>
      <c r="I5" s="43"/>
      <c r="J5" s="43"/>
      <c r="K5" s="43"/>
      <c r="L5" s="43"/>
      <c r="M5" s="1"/>
      <c r="N5" s="1"/>
      <c r="O5" s="1"/>
      <c r="V5" s="1"/>
      <c r="W5" s="1"/>
      <c r="Z5"/>
    </row>
    <row r="6" spans="2:39" ht="15.75" thickBot="1">
      <c r="B6" s="62"/>
      <c r="D6" s="63">
        <v>2018</v>
      </c>
      <c r="E6" s="63">
        <v>2019</v>
      </c>
      <c r="F6" s="63">
        <v>2020</v>
      </c>
      <c r="G6" s="63">
        <v>2021</v>
      </c>
      <c r="H6" s="63">
        <v>2022</v>
      </c>
      <c r="I6" s="63">
        <v>2023</v>
      </c>
      <c r="J6" s="63">
        <v>2024</v>
      </c>
      <c r="K6" s="68">
        <v>2025</v>
      </c>
      <c r="L6" s="68" t="s">
        <v>412</v>
      </c>
      <c r="M6" s="1"/>
      <c r="N6" s="63" t="s">
        <v>19</v>
      </c>
      <c r="O6" s="63" t="s">
        <v>194</v>
      </c>
      <c r="P6" s="63" t="s">
        <v>250</v>
      </c>
      <c r="Q6" s="63" t="s">
        <v>259</v>
      </c>
      <c r="R6" s="63" t="s">
        <v>20</v>
      </c>
      <c r="S6" s="63" t="s">
        <v>193</v>
      </c>
      <c r="T6" s="63" t="s">
        <v>249</v>
      </c>
      <c r="U6" s="63" t="s">
        <v>260</v>
      </c>
      <c r="V6" s="63" t="s">
        <v>291</v>
      </c>
      <c r="W6" s="63" t="s">
        <v>308</v>
      </c>
      <c r="X6" s="63" t="s">
        <v>318</v>
      </c>
      <c r="Y6" s="63" t="s">
        <v>328</v>
      </c>
      <c r="Z6" s="63" t="s">
        <v>335</v>
      </c>
      <c r="AA6" s="63" t="s">
        <v>340</v>
      </c>
      <c r="AB6" s="63" t="s">
        <v>343</v>
      </c>
      <c r="AC6" s="63" t="s">
        <v>347</v>
      </c>
      <c r="AD6" s="63" t="s">
        <v>353</v>
      </c>
      <c r="AE6" s="63" t="s">
        <v>358</v>
      </c>
      <c r="AF6" s="63" t="s">
        <v>374</v>
      </c>
      <c r="AG6" s="63" t="s">
        <v>386</v>
      </c>
      <c r="AH6" s="63" t="s">
        <v>392</v>
      </c>
      <c r="AI6" s="63" t="s">
        <v>395</v>
      </c>
      <c r="AJ6" s="63" t="s">
        <v>399</v>
      </c>
      <c r="AK6" s="63" t="s">
        <v>403</v>
      </c>
      <c r="AL6" s="63" t="s">
        <v>406</v>
      </c>
      <c r="AM6" s="63" t="s">
        <v>411</v>
      </c>
    </row>
    <row r="7" spans="2:39" ht="15.75" thickTop="1">
      <c r="B7" s="12" t="s">
        <v>32</v>
      </c>
      <c r="D7" s="44"/>
      <c r="E7" s="44"/>
      <c r="F7" s="44"/>
      <c r="G7" s="44"/>
      <c r="H7" s="44"/>
      <c r="I7" s="44"/>
      <c r="J7" s="44"/>
      <c r="K7" s="89"/>
      <c r="L7" s="89"/>
      <c r="M7" s="1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2:39" ht="15">
      <c r="B8" s="14" t="s">
        <v>211</v>
      </c>
      <c r="D8" s="5">
        <v>675</v>
      </c>
      <c r="E8" s="5">
        <v>1081</v>
      </c>
      <c r="F8" s="5">
        <v>1081</v>
      </c>
      <c r="G8" s="5">
        <v>1469</v>
      </c>
      <c r="H8" s="5">
        <v>2497</v>
      </c>
      <c r="I8" s="5">
        <f>+H8</f>
        <v>2497</v>
      </c>
      <c r="J8" s="5">
        <v>2212</v>
      </c>
      <c r="K8" s="5">
        <v>2212</v>
      </c>
      <c r="L8" s="5">
        <v>2212</v>
      </c>
      <c r="M8" s="11"/>
      <c r="N8" s="5">
        <v>1081</v>
      </c>
      <c r="O8" s="5">
        <v>1081</v>
      </c>
      <c r="P8" s="5">
        <v>1081</v>
      </c>
      <c r="Q8" s="5">
        <v>1081</v>
      </c>
      <c r="R8" s="5">
        <v>1081</v>
      </c>
      <c r="S8" s="5">
        <v>1081</v>
      </c>
      <c r="T8" s="5">
        <v>1081</v>
      </c>
      <c r="U8" s="5">
        <f>G8</f>
        <v>1469</v>
      </c>
      <c r="V8" s="5">
        <v>1829</v>
      </c>
      <c r="W8" s="5">
        <v>2324</v>
      </c>
      <c r="X8" s="5">
        <v>2497</v>
      </c>
      <c r="Y8" s="5">
        <v>2497</v>
      </c>
      <c r="Z8" s="5">
        <v>2497</v>
      </c>
      <c r="AA8" s="5">
        <f>Z8</f>
        <v>2497</v>
      </c>
      <c r="AB8" s="5">
        <f>AA8</f>
        <v>2497</v>
      </c>
      <c r="AC8" s="5">
        <f>+AB8</f>
        <v>2497</v>
      </c>
      <c r="AD8" s="5">
        <v>2497</v>
      </c>
      <c r="AE8" s="5">
        <v>2497</v>
      </c>
      <c r="AF8" s="5">
        <v>2212</v>
      </c>
      <c r="AG8" s="5">
        <v>2212</v>
      </c>
      <c r="AH8" s="5">
        <v>2212</v>
      </c>
      <c r="AI8" s="5">
        <v>2212</v>
      </c>
      <c r="AJ8" s="5">
        <v>2212</v>
      </c>
      <c r="AK8" s="5">
        <v>2212</v>
      </c>
      <c r="AL8" s="5">
        <v>2212</v>
      </c>
      <c r="AM8" s="5">
        <v>2212</v>
      </c>
    </row>
    <row r="9" spans="2:39" ht="15">
      <c r="B9" s="14" t="s">
        <v>191</v>
      </c>
      <c r="D9" s="5">
        <v>433</v>
      </c>
      <c r="E9" s="5">
        <v>508.66027397260274</v>
      </c>
      <c r="F9" s="5">
        <v>524.43989071038254</v>
      </c>
      <c r="G9" s="5">
        <v>653</v>
      </c>
      <c r="H9" s="87">
        <v>1290</v>
      </c>
      <c r="I9" s="5">
        <v>1561.6273972602739</v>
      </c>
      <c r="J9" s="5">
        <v>1463.204918032787</v>
      </c>
      <c r="K9" s="5">
        <v>1212.7589041095889</v>
      </c>
      <c r="L9" s="5">
        <v>1197</v>
      </c>
      <c r="M9" s="11"/>
      <c r="N9" s="5">
        <v>515.5934065934066</v>
      </c>
      <c r="O9" s="5">
        <v>497.76923076923077</v>
      </c>
      <c r="P9" s="5">
        <v>515.0978260869565</v>
      </c>
      <c r="Q9" s="5">
        <v>569</v>
      </c>
      <c r="R9" s="5">
        <v>624.4666666666667</v>
      </c>
      <c r="S9" s="5">
        <v>646.32967032967031</v>
      </c>
      <c r="T9" s="5">
        <v>573.97826086956525</v>
      </c>
      <c r="U9" s="5">
        <v>767</v>
      </c>
      <c r="V9" s="5">
        <v>967.33333333333337</v>
      </c>
      <c r="W9" s="5">
        <v>1281</v>
      </c>
      <c r="X9" s="5">
        <v>1411</v>
      </c>
      <c r="Y9" s="5">
        <v>1494</v>
      </c>
      <c r="Z9" s="5">
        <v>1533</v>
      </c>
      <c r="AA9" s="5">
        <v>1572</v>
      </c>
      <c r="AB9" s="5">
        <v>1590</v>
      </c>
      <c r="AC9" s="5">
        <v>1551</v>
      </c>
      <c r="AD9" s="5">
        <v>1534</v>
      </c>
      <c r="AE9" s="5">
        <v>1602</v>
      </c>
      <c r="AF9" s="5">
        <v>1532</v>
      </c>
      <c r="AG9" s="5">
        <v>1187.4239130434783</v>
      </c>
      <c r="AH9" s="5">
        <v>1166</v>
      </c>
      <c r="AI9" s="5">
        <v>1231</v>
      </c>
      <c r="AJ9" s="5">
        <v>1246</v>
      </c>
      <c r="AK9" s="5">
        <v>1207.0434782608695</v>
      </c>
      <c r="AL9" s="5">
        <v>1168</v>
      </c>
      <c r="AM9" s="5">
        <v>1225</v>
      </c>
    </row>
    <row r="10" spans="2:39" ht="15">
      <c r="B10" s="14" t="s">
        <v>192</v>
      </c>
      <c r="D10" s="5">
        <v>312.91780821917808</v>
      </c>
      <c r="E10" s="5">
        <v>343.42739726027395</v>
      </c>
      <c r="F10" s="5">
        <v>319.31147540983608</v>
      </c>
      <c r="G10" s="5">
        <v>457</v>
      </c>
      <c r="H10" s="87">
        <v>903</v>
      </c>
      <c r="I10" s="82">
        <v>1107.7780821917809</v>
      </c>
      <c r="J10" s="5">
        <v>1097.3661202185792</v>
      </c>
      <c r="K10" s="5">
        <v>919.99178082191781</v>
      </c>
      <c r="L10" s="5">
        <v>940.84199999999998</v>
      </c>
      <c r="M10" s="11"/>
      <c r="N10" s="5">
        <v>326.82417582417582</v>
      </c>
      <c r="O10" s="5">
        <v>261.92307692307691</v>
      </c>
      <c r="P10" s="5">
        <v>326.78260869565213</v>
      </c>
      <c r="Q10" s="5">
        <v>361</v>
      </c>
      <c r="R10" s="5">
        <v>425.46666666666664</v>
      </c>
      <c r="S10" s="5">
        <v>482.60439560439562</v>
      </c>
      <c r="T10" s="5">
        <v>389.57608695652175</v>
      </c>
      <c r="U10" s="5">
        <v>531</v>
      </c>
      <c r="V10" s="5">
        <v>725.71579999999994</v>
      </c>
      <c r="W10" s="5">
        <v>906</v>
      </c>
      <c r="X10" s="82">
        <v>974.70652173913038</v>
      </c>
      <c r="Y10" s="82">
        <f>Y11*Y9</f>
        <v>1000.98</v>
      </c>
      <c r="Z10" s="82">
        <v>1084</v>
      </c>
      <c r="AA10" s="82">
        <v>1145</v>
      </c>
      <c r="AB10" s="82">
        <v>1107</v>
      </c>
      <c r="AC10" s="82">
        <v>1095</v>
      </c>
      <c r="AD10" s="82">
        <v>1214</v>
      </c>
      <c r="AE10" s="82">
        <v>1211</v>
      </c>
      <c r="AF10" s="82">
        <v>1115</v>
      </c>
      <c r="AG10" s="5">
        <v>851.63043478260875</v>
      </c>
      <c r="AH10" s="5">
        <v>865.17200000000003</v>
      </c>
      <c r="AI10" s="5">
        <v>959.79045485779557</v>
      </c>
      <c r="AJ10" s="5">
        <v>951</v>
      </c>
      <c r="AK10" s="5">
        <v>903.71739130434776</v>
      </c>
      <c r="AL10" s="5">
        <v>918.048</v>
      </c>
      <c r="AM10" s="5">
        <v>964.07500000000005</v>
      </c>
    </row>
    <row r="11" spans="2:39" ht="15">
      <c r="B11" s="14" t="s">
        <v>415</v>
      </c>
      <c r="D11" s="6">
        <f t="shared" ref="D11:H11" si="0">D10/D9</f>
        <v>0.72267392198424496</v>
      </c>
      <c r="E11" s="6">
        <f t="shared" si="0"/>
        <v>0.67516064224581351</v>
      </c>
      <c r="F11" s="6">
        <f t="shared" si="0"/>
        <v>0.60886191356899111</v>
      </c>
      <c r="G11" s="6">
        <f t="shared" si="0"/>
        <v>0.69984686064318535</v>
      </c>
      <c r="H11" s="86">
        <f t="shared" si="0"/>
        <v>0.7</v>
      </c>
      <c r="I11" s="6">
        <v>0.70937413376281155</v>
      </c>
      <c r="J11" s="8">
        <v>0.74997432464479308</v>
      </c>
      <c r="K11" s="8">
        <f>K10/K9</f>
        <v>0.75859412592594277</v>
      </c>
      <c r="L11" s="8">
        <v>0.78600000000000003</v>
      </c>
      <c r="M11" s="11"/>
      <c r="N11" s="8">
        <f>N10/N9</f>
        <v>0.63387966495449599</v>
      </c>
      <c r="O11" s="8">
        <f>O10/O9</f>
        <v>0.52619378766805747</v>
      </c>
      <c r="P11" s="8">
        <v>0.63440882905315577</v>
      </c>
      <c r="Q11" s="6">
        <f>Q10/Q9</f>
        <v>0.63444639718804918</v>
      </c>
      <c r="R11" s="6">
        <f t="shared" ref="R11:W11" si="1">R10/R9</f>
        <v>0.68132806661684631</v>
      </c>
      <c r="S11" s="6">
        <f t="shared" si="1"/>
        <v>0.74668457562568014</v>
      </c>
      <c r="T11" s="6">
        <f t="shared" si="1"/>
        <v>0.67872968980797632</v>
      </c>
      <c r="U11" s="6">
        <f t="shared" si="1"/>
        <v>0.69230769230769229</v>
      </c>
      <c r="V11" s="6">
        <f t="shared" si="1"/>
        <v>0.75022308752584421</v>
      </c>
      <c r="W11" s="6">
        <f t="shared" si="1"/>
        <v>0.70725995316159251</v>
      </c>
      <c r="X11" s="6">
        <f t="shared" ref="X11" si="2">X10/X9</f>
        <v>0.69079129818506757</v>
      </c>
      <c r="Y11" s="6">
        <v>0.67</v>
      </c>
      <c r="Z11" s="6">
        <f t="shared" ref="Z11:AF11" si="3">Z10/Z9</f>
        <v>0.70711024135681666</v>
      </c>
      <c r="AA11" s="6">
        <f t="shared" si="3"/>
        <v>0.72837150127226458</v>
      </c>
      <c r="AB11" s="6">
        <f t="shared" si="3"/>
        <v>0.69622641509433958</v>
      </c>
      <c r="AC11" s="6">
        <f t="shared" si="3"/>
        <v>0.70599613152804641</v>
      </c>
      <c r="AD11" s="6">
        <f t="shared" si="3"/>
        <v>0.79139504563233376</v>
      </c>
      <c r="AE11" s="6">
        <f t="shared" si="3"/>
        <v>0.75593008739076151</v>
      </c>
      <c r="AF11" s="6">
        <f t="shared" si="3"/>
        <v>0.72780678851174929</v>
      </c>
      <c r="AG11" s="6">
        <v>0.71720842525379203</v>
      </c>
      <c r="AH11" s="6">
        <v>0.74199999999999999</v>
      </c>
      <c r="AI11" s="6">
        <v>0.77968355390560162</v>
      </c>
      <c r="AJ11" s="6">
        <f>AJ10/AJ9</f>
        <v>0.7632423756019262</v>
      </c>
      <c r="AK11" s="6">
        <f>AK10/AK9</f>
        <v>0.74870326345364169</v>
      </c>
      <c r="AL11" s="6">
        <v>0.78600000000000003</v>
      </c>
      <c r="AM11" s="6">
        <v>0.78700000000000003</v>
      </c>
    </row>
    <row r="12" spans="2:39" ht="15">
      <c r="B12" s="14" t="s">
        <v>337</v>
      </c>
      <c r="D12" s="7">
        <f t="shared" ref="D12:I12" si="4">D17/D10/1000</f>
        <v>2.1402808737906578</v>
      </c>
      <c r="E12" s="7">
        <f t="shared" si="4"/>
        <v>2.2715922090769123</v>
      </c>
      <c r="F12" s="7">
        <f t="shared" si="4"/>
        <v>2.4140410206386691</v>
      </c>
      <c r="G12" s="7">
        <f t="shared" si="4"/>
        <v>2.4124288840262582</v>
      </c>
      <c r="H12" s="7">
        <f t="shared" si="4"/>
        <v>2.1896228461683278</v>
      </c>
      <c r="I12" s="7">
        <f t="shared" si="4"/>
        <v>2.2413090129816808</v>
      </c>
      <c r="J12" s="98">
        <v>2.293690276768019</v>
      </c>
      <c r="K12" s="98">
        <v>2.6605956346439665</v>
      </c>
      <c r="L12" s="98">
        <v>2.86</v>
      </c>
      <c r="M12" s="11"/>
      <c r="N12" s="7">
        <f>(N17/(N10*91))*365/1000</f>
        <v>2.2404281967654081</v>
      </c>
      <c r="O12" s="7">
        <f>(O17/(O10*91))*365/1000</f>
        <v>2.3868373715124815</v>
      </c>
      <c r="P12" s="7">
        <f>(P17/(P10*92))*365/1000</f>
        <v>2.541378060138372</v>
      </c>
      <c r="Q12" s="7">
        <f>(Q17/(Q10*92))*365/1000</f>
        <v>2.4517186935445019</v>
      </c>
      <c r="R12" s="7">
        <f>(R17/(R10*90))*365/1000</f>
        <v>2.3287385093492112</v>
      </c>
      <c r="S12" s="7">
        <f>(S17/(S10*91))*365/1000</f>
        <v>2.3975705307739599</v>
      </c>
      <c r="T12" s="7">
        <f>(T17/(T10*92))*365/1000</f>
        <v>2.6541908707904356</v>
      </c>
      <c r="U12" s="7">
        <f>(U17/(U10*92))*365/1000</f>
        <v>2.3092234708916726</v>
      </c>
      <c r="V12" s="7">
        <f>(V17/(V10*90))*365/1000</f>
        <v>2.170918392265647</v>
      </c>
      <c r="W12" s="7">
        <f>(W17/(W10*91))*365/1000</f>
        <v>2.1803855897902866</v>
      </c>
      <c r="X12" s="7">
        <f>(X17/(X10*92))*365/1000</f>
        <v>2.1508470544054505</v>
      </c>
      <c r="Y12" s="7">
        <f>(Y17/(Y10*92))*365/1000</f>
        <v>2.2506148728300608</v>
      </c>
      <c r="Z12" s="7">
        <f>(Z17/(Z10*90))*365/1000</f>
        <v>2.1893041205412054</v>
      </c>
      <c r="AA12" s="7">
        <f>(AA17/(AA10*91))*365/1000</f>
        <v>2.1699660732280823</v>
      </c>
      <c r="AB12" s="7">
        <f>(AB17/(AB10*92))*365/1000</f>
        <v>2.3095664938533447</v>
      </c>
      <c r="AC12" s="7">
        <f>(AC17/(AC10*92))*365/1000</f>
        <v>2.2964565217391306</v>
      </c>
      <c r="AD12" s="7">
        <f>(AD17/(AD10*91))*366/1000</f>
        <v>2.1896887412422834</v>
      </c>
      <c r="AE12" s="7">
        <f>(AE17/(AE10*91))*366/1000</f>
        <v>2.2026523715755753</v>
      </c>
      <c r="AF12" s="7">
        <f>(AF17/(AF10*92))*366/1000</f>
        <v>2.3026780464028076</v>
      </c>
      <c r="AG12" s="7">
        <v>2.5575201786853863</v>
      </c>
      <c r="AH12" s="7">
        <v>2.6356769434413274</v>
      </c>
      <c r="AI12" s="7">
        <v>2.5499999999999998</v>
      </c>
      <c r="AJ12" s="7">
        <v>2.67</v>
      </c>
      <c r="AK12" s="7">
        <v>2.79111664777008</v>
      </c>
      <c r="AL12" s="7">
        <v>2.86</v>
      </c>
      <c r="AM12" s="7">
        <v>2.87</v>
      </c>
    </row>
    <row r="13" spans="2:39" ht="15">
      <c r="B13" s="4"/>
      <c r="D13"/>
      <c r="E13"/>
      <c r="F13"/>
      <c r="G13"/>
      <c r="H13"/>
      <c r="I13" s="91"/>
      <c r="J13" s="91"/>
      <c r="K13" s="91"/>
      <c r="L13" s="91"/>
      <c r="M13" s="11"/>
      <c r="N13" s="1"/>
      <c r="O13" s="1"/>
      <c r="V13" s="1"/>
      <c r="W13" s="1"/>
      <c r="AM13" s="1"/>
    </row>
    <row r="14" spans="2:39" ht="15">
      <c r="B14" s="4"/>
      <c r="D14"/>
      <c r="E14"/>
      <c r="F14"/>
      <c r="G14"/>
      <c r="H14"/>
      <c r="I14"/>
      <c r="J14" s="97"/>
      <c r="K14" s="97"/>
      <c r="L14" s="97"/>
      <c r="M14" s="11"/>
      <c r="N14" s="1"/>
      <c r="O14" s="1"/>
      <c r="S14" s="73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M14" s="1"/>
    </row>
    <row r="15" spans="2:39" ht="14.65" customHeight="1">
      <c r="B15" s="4"/>
      <c r="D15"/>
      <c r="E15"/>
      <c r="F15"/>
      <c r="G15" s="74"/>
      <c r="H15" s="74"/>
      <c r="I15" s="74"/>
      <c r="J15" s="74"/>
      <c r="K15" s="74"/>
      <c r="L15" s="74"/>
      <c r="M15" s="11"/>
      <c r="N15" s="1"/>
      <c r="O15" s="1"/>
      <c r="R15" s="75"/>
      <c r="S15" s="75"/>
      <c r="T15" s="75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M15" s="1"/>
    </row>
    <row r="16" spans="2:39" ht="15.75" thickBot="1">
      <c r="B16" s="62" t="s">
        <v>265</v>
      </c>
      <c r="D16" s="63">
        <v>2018</v>
      </c>
      <c r="E16" s="63">
        <v>2019</v>
      </c>
      <c r="F16" s="63">
        <v>2020</v>
      </c>
      <c r="G16" s="63">
        <v>2021</v>
      </c>
      <c r="H16" s="63">
        <v>2022</v>
      </c>
      <c r="I16" s="63">
        <v>2023</v>
      </c>
      <c r="J16" s="63">
        <v>2024</v>
      </c>
      <c r="K16" s="68">
        <v>2025</v>
      </c>
      <c r="L16" s="68" t="s">
        <v>412</v>
      </c>
      <c r="M16" s="11"/>
      <c r="N16" s="63" t="s">
        <v>19</v>
      </c>
      <c r="O16" s="63" t="s">
        <v>194</v>
      </c>
      <c r="P16" s="63" t="s">
        <v>250</v>
      </c>
      <c r="Q16" s="63" t="s">
        <v>259</v>
      </c>
      <c r="R16" s="63" t="s">
        <v>20</v>
      </c>
      <c r="S16" s="63" t="s">
        <v>193</v>
      </c>
      <c r="T16" s="63" t="s">
        <v>249</v>
      </c>
      <c r="U16" s="63" t="s">
        <v>260</v>
      </c>
      <c r="V16" s="63" t="s">
        <v>291</v>
      </c>
      <c r="W16" s="63" t="s">
        <v>308</v>
      </c>
      <c r="X16" s="63" t="s">
        <v>318</v>
      </c>
      <c r="Y16" s="63" t="s">
        <v>328</v>
      </c>
      <c r="Z16" s="63" t="s">
        <v>335</v>
      </c>
      <c r="AA16" s="63" t="s">
        <v>340</v>
      </c>
      <c r="AB16" s="63" t="s">
        <v>343</v>
      </c>
      <c r="AC16" s="63" t="s">
        <v>347</v>
      </c>
      <c r="AD16" s="63" t="s">
        <v>353</v>
      </c>
      <c r="AE16" s="63" t="s">
        <v>358</v>
      </c>
      <c r="AF16" s="63" t="s">
        <v>374</v>
      </c>
      <c r="AG16" s="63" t="s">
        <v>386</v>
      </c>
      <c r="AH16" s="63" t="s">
        <v>392</v>
      </c>
      <c r="AI16" s="63" t="s">
        <v>395</v>
      </c>
      <c r="AJ16" s="63" t="s">
        <v>399</v>
      </c>
      <c r="AK16" s="63" t="s">
        <v>403</v>
      </c>
      <c r="AL16" s="63" t="s">
        <v>406</v>
      </c>
      <c r="AM16" s="63" t="s">
        <v>411</v>
      </c>
    </row>
    <row r="17" spans="2:39" customFormat="1" ht="15.75" thickTop="1">
      <c r="B17" s="15" t="s">
        <v>21</v>
      </c>
      <c r="C17" s="1"/>
      <c r="D17" s="49">
        <f t="shared" ref="D17:H17" si="5">SUM(D18:D20)</f>
        <v>669732</v>
      </c>
      <c r="E17" s="49">
        <f t="shared" si="5"/>
        <v>780127</v>
      </c>
      <c r="F17" s="49">
        <f t="shared" si="5"/>
        <v>770831</v>
      </c>
      <c r="G17" s="49">
        <f t="shared" si="5"/>
        <v>1102480</v>
      </c>
      <c r="H17" s="49">
        <f t="shared" si="5"/>
        <v>1977229.4300899999</v>
      </c>
      <c r="I17" s="49">
        <f>SUM(I18:I20)</f>
        <v>2482873</v>
      </c>
      <c r="J17" s="49">
        <f>SUM(J18:J20)</f>
        <v>2517018</v>
      </c>
      <c r="K17" s="49">
        <v>2442297</v>
      </c>
      <c r="L17" s="49">
        <v>1332783</v>
      </c>
      <c r="M17" s="11"/>
      <c r="N17" s="49">
        <f t="shared" ref="N17:U17" si="6">SUM(N18:N20)</f>
        <v>182555</v>
      </c>
      <c r="O17" s="49">
        <f t="shared" si="6"/>
        <v>155863.75</v>
      </c>
      <c r="P17" s="49">
        <f t="shared" si="6"/>
        <v>209326</v>
      </c>
      <c r="Q17" s="49">
        <f t="shared" si="6"/>
        <v>223086.25</v>
      </c>
      <c r="R17" s="49">
        <f t="shared" si="6"/>
        <v>244307</v>
      </c>
      <c r="S17" s="49">
        <f t="shared" si="6"/>
        <v>288477</v>
      </c>
      <c r="T17" s="49">
        <f t="shared" si="6"/>
        <v>260627</v>
      </c>
      <c r="U17" s="49">
        <f t="shared" si="6"/>
        <v>309069</v>
      </c>
      <c r="V17" s="49">
        <f t="shared" ref="V17:W17" si="7">SUM(V18:V20)</f>
        <v>388472</v>
      </c>
      <c r="W17" s="49">
        <f t="shared" si="7"/>
        <v>492504.30229000002</v>
      </c>
      <c r="X17" s="49">
        <f t="shared" ref="X17:AE17" si="8">SUM(X18:X20)</f>
        <v>528418.92577999993</v>
      </c>
      <c r="Y17" s="49">
        <f t="shared" si="8"/>
        <v>567834.20201999997</v>
      </c>
      <c r="Z17" s="49">
        <f t="shared" si="8"/>
        <v>585174</v>
      </c>
      <c r="AA17" s="49">
        <f t="shared" si="8"/>
        <v>619451</v>
      </c>
      <c r="AB17" s="49">
        <f t="shared" si="8"/>
        <v>644426</v>
      </c>
      <c r="AC17" s="49">
        <f t="shared" si="8"/>
        <v>633822</v>
      </c>
      <c r="AD17" s="49">
        <f t="shared" si="8"/>
        <v>660939</v>
      </c>
      <c r="AE17" s="49">
        <f t="shared" si="8"/>
        <v>663209</v>
      </c>
      <c r="AF17" s="49">
        <v>645379</v>
      </c>
      <c r="AG17" s="49">
        <v>547491</v>
      </c>
      <c r="AH17" s="49">
        <v>560355</v>
      </c>
      <c r="AI17" s="49">
        <v>609862</v>
      </c>
      <c r="AJ17" s="49">
        <v>637565</v>
      </c>
      <c r="AK17" s="49">
        <v>634515</v>
      </c>
      <c r="AL17" s="49">
        <v>644322</v>
      </c>
      <c r="AM17" s="49">
        <v>688461</v>
      </c>
    </row>
    <row r="18" spans="2:39" customFormat="1" ht="15">
      <c r="B18" s="16" t="s">
        <v>22</v>
      </c>
      <c r="C18" s="1"/>
      <c r="D18" s="47">
        <v>627463</v>
      </c>
      <c r="E18" s="47">
        <v>727808</v>
      </c>
      <c r="F18" s="47">
        <v>708037</v>
      </c>
      <c r="G18" s="47">
        <v>1012784</v>
      </c>
      <c r="H18" s="47">
        <f>SUM(V18:Y18)</f>
        <v>1839190.4300899999</v>
      </c>
      <c r="I18" s="47">
        <v>2314041</v>
      </c>
      <c r="J18" s="47">
        <v>2325779</v>
      </c>
      <c r="K18" s="47">
        <v>2263840</v>
      </c>
      <c r="L18" s="47">
        <v>1238524</v>
      </c>
      <c r="M18" s="11"/>
      <c r="N18" s="47">
        <v>168270</v>
      </c>
      <c r="O18" s="47">
        <v>143910.75</v>
      </c>
      <c r="P18" s="47">
        <v>188899</v>
      </c>
      <c r="Q18" s="47">
        <f>F18-SUM(N18:P18)</f>
        <v>206957.25</v>
      </c>
      <c r="R18" s="47">
        <v>222167</v>
      </c>
      <c r="S18" s="47">
        <v>263231</v>
      </c>
      <c r="T18" s="47">
        <v>240826</v>
      </c>
      <c r="U18" s="47">
        <v>286560</v>
      </c>
      <c r="V18" s="47">
        <v>363607</v>
      </c>
      <c r="W18" s="47">
        <v>455345.73729000002</v>
      </c>
      <c r="X18" s="47">
        <v>491556.92577999999</v>
      </c>
      <c r="Y18" s="47">
        <v>528680.76702000003</v>
      </c>
      <c r="Z18" s="47">
        <v>544767</v>
      </c>
      <c r="AA18" s="47">
        <v>578623</v>
      </c>
      <c r="AB18" s="47">
        <v>596143</v>
      </c>
      <c r="AC18" s="47">
        <v>594508</v>
      </c>
      <c r="AD18" s="47">
        <v>613499</v>
      </c>
      <c r="AE18" s="47">
        <v>612081</v>
      </c>
      <c r="AF18" s="47">
        <v>596398</v>
      </c>
      <c r="AG18" s="47">
        <v>503801</v>
      </c>
      <c r="AH18" s="47">
        <v>517268</v>
      </c>
      <c r="AI18" s="47">
        <v>565214</v>
      </c>
      <c r="AJ18" s="47">
        <v>591490</v>
      </c>
      <c r="AK18" s="47">
        <v>589868</v>
      </c>
      <c r="AL18" s="47">
        <v>597269</v>
      </c>
      <c r="AM18" s="47">
        <v>641255</v>
      </c>
    </row>
    <row r="19" spans="2:39" customFormat="1" ht="15">
      <c r="B19" s="16" t="s">
        <v>23</v>
      </c>
      <c r="C19" s="1"/>
      <c r="D19" s="47">
        <v>28174</v>
      </c>
      <c r="E19" s="47">
        <v>36298</v>
      </c>
      <c r="F19" s="47">
        <v>46627</v>
      </c>
      <c r="G19" s="47">
        <v>71171</v>
      </c>
      <c r="H19" s="47">
        <f t="shared" ref="H19:H20" si="9">SUM(V19:Y19)</f>
        <v>113108</v>
      </c>
      <c r="I19" s="47">
        <v>139425</v>
      </c>
      <c r="J19" s="47">
        <v>157318</v>
      </c>
      <c r="K19" s="47">
        <v>142152</v>
      </c>
      <c r="L19" s="47">
        <v>73455</v>
      </c>
      <c r="M19" s="11"/>
      <c r="N19" s="47">
        <v>9250</v>
      </c>
      <c r="O19" s="47">
        <v>7636</v>
      </c>
      <c r="P19" s="47">
        <v>14463</v>
      </c>
      <c r="Q19" s="47">
        <f>F19-SUM(N19:P19)</f>
        <v>15278</v>
      </c>
      <c r="R19" s="47">
        <v>17741</v>
      </c>
      <c r="S19" s="47">
        <v>21135</v>
      </c>
      <c r="T19" s="47">
        <v>14818</v>
      </c>
      <c r="U19" s="47">
        <v>17477</v>
      </c>
      <c r="V19" s="47">
        <v>19211</v>
      </c>
      <c r="W19" s="47">
        <v>31141.565000000002</v>
      </c>
      <c r="X19" s="47">
        <v>30994</v>
      </c>
      <c r="Y19" s="47">
        <v>31761.434999999998</v>
      </c>
      <c r="Z19" s="47">
        <v>32771</v>
      </c>
      <c r="AA19" s="47">
        <v>33680</v>
      </c>
      <c r="AB19" s="47">
        <v>39151</v>
      </c>
      <c r="AC19" s="47">
        <v>33823</v>
      </c>
      <c r="AD19" s="47">
        <v>39139</v>
      </c>
      <c r="AE19" s="47">
        <v>42279</v>
      </c>
      <c r="AF19" s="47">
        <v>40239</v>
      </c>
      <c r="AG19" s="47">
        <v>35661</v>
      </c>
      <c r="AH19" s="47">
        <v>33865</v>
      </c>
      <c r="AI19" s="47">
        <v>35602</v>
      </c>
      <c r="AJ19" s="47">
        <v>36877</v>
      </c>
      <c r="AK19" s="47">
        <v>35808</v>
      </c>
      <c r="AL19" s="47">
        <v>36975</v>
      </c>
      <c r="AM19" s="47">
        <v>36480</v>
      </c>
    </row>
    <row r="20" spans="2:39" customFormat="1" ht="15">
      <c r="B20" s="16" t="s">
        <v>24</v>
      </c>
      <c r="C20" s="1"/>
      <c r="D20" s="47">
        <v>14095</v>
      </c>
      <c r="E20" s="47">
        <v>16021</v>
      </c>
      <c r="F20" s="47">
        <v>16167</v>
      </c>
      <c r="G20" s="47">
        <v>18525</v>
      </c>
      <c r="H20" s="47">
        <f t="shared" si="9"/>
        <v>24931</v>
      </c>
      <c r="I20" s="47">
        <f>18557+10758+92</f>
        <v>29407</v>
      </c>
      <c r="J20" s="47">
        <v>33921</v>
      </c>
      <c r="K20" s="47">
        <v>36305</v>
      </c>
      <c r="L20" s="47">
        <v>20804</v>
      </c>
      <c r="M20" s="11"/>
      <c r="N20" s="47">
        <v>5035</v>
      </c>
      <c r="O20" s="47">
        <v>4317</v>
      </c>
      <c r="P20" s="47">
        <v>5964</v>
      </c>
      <c r="Q20" s="47">
        <f>F20-SUM(N20:P20)</f>
        <v>851</v>
      </c>
      <c r="R20" s="47">
        <v>4399</v>
      </c>
      <c r="S20" s="47">
        <v>4111</v>
      </c>
      <c r="T20" s="47">
        <v>4983</v>
      </c>
      <c r="U20" s="47">
        <v>5032</v>
      </c>
      <c r="V20" s="47">
        <v>5654</v>
      </c>
      <c r="W20" s="47">
        <v>6017</v>
      </c>
      <c r="X20" s="47">
        <v>5868</v>
      </c>
      <c r="Y20" s="47">
        <v>7392</v>
      </c>
      <c r="Z20" s="47">
        <f>2435+913+4288</f>
        <v>7636</v>
      </c>
      <c r="AA20" s="47">
        <v>7148</v>
      </c>
      <c r="AB20" s="47">
        <v>9132</v>
      </c>
      <c r="AC20" s="47">
        <v>5491</v>
      </c>
      <c r="AD20" s="47">
        <f>3228+59+5014</f>
        <v>8301</v>
      </c>
      <c r="AE20" s="47">
        <f>5410+3439</f>
        <v>8849</v>
      </c>
      <c r="AF20" s="47">
        <v>8742</v>
      </c>
      <c r="AG20" s="47">
        <v>8029</v>
      </c>
      <c r="AH20" s="47">
        <v>9222</v>
      </c>
      <c r="AI20" s="47">
        <v>9046</v>
      </c>
      <c r="AJ20" s="47">
        <v>9198</v>
      </c>
      <c r="AK20" s="47">
        <v>8839</v>
      </c>
      <c r="AL20" s="47">
        <v>10078</v>
      </c>
      <c r="AM20" s="47">
        <v>10726</v>
      </c>
    </row>
    <row r="21" spans="2:39" customFormat="1" ht="15">
      <c r="B21" s="17" t="s">
        <v>349</v>
      </c>
      <c r="C21" s="1"/>
      <c r="D21" s="50">
        <v>-43176</v>
      </c>
      <c r="E21" s="50">
        <v>-47488</v>
      </c>
      <c r="F21" s="50">
        <v>-52970</v>
      </c>
      <c r="G21" s="50">
        <v>-78167</v>
      </c>
      <c r="H21" s="50">
        <f>SUM(V21:Y21)</f>
        <v>-214097.43009000001</v>
      </c>
      <c r="I21" s="50">
        <f>-133943-7157-154108</f>
        <v>-295208</v>
      </c>
      <c r="J21" s="50">
        <v>-291017</v>
      </c>
      <c r="K21" s="50">
        <v>-267012</v>
      </c>
      <c r="L21" s="50">
        <v>-144192</v>
      </c>
      <c r="M21" s="11"/>
      <c r="N21" s="50">
        <v>-12314</v>
      </c>
      <c r="O21" s="50">
        <v>-11888</v>
      </c>
      <c r="P21" s="50">
        <v>-13967.999999999998</v>
      </c>
      <c r="Q21" s="50">
        <f>F21-SUM(N21:P21)</f>
        <v>-14800</v>
      </c>
      <c r="R21" s="50">
        <v>-17547</v>
      </c>
      <c r="S21" s="50">
        <v>-19547</v>
      </c>
      <c r="T21" s="50">
        <v>-20225</v>
      </c>
      <c r="U21" s="50">
        <v>-20848</v>
      </c>
      <c r="V21" s="50">
        <v>-45745</v>
      </c>
      <c r="W21" s="50">
        <v>-58097.123999999996</v>
      </c>
      <c r="X21" s="50">
        <v>-54534.925780000005</v>
      </c>
      <c r="Y21" s="50">
        <v>-55720.380310000008</v>
      </c>
      <c r="Z21" s="50">
        <v>-61115</v>
      </c>
      <c r="AA21" s="50">
        <v>-65296</v>
      </c>
      <c r="AB21" s="50">
        <v>-76199</v>
      </c>
      <c r="AC21" s="50">
        <v>-92598</v>
      </c>
      <c r="AD21" s="50">
        <v>-78140</v>
      </c>
      <c r="AE21" s="50">
        <f>-34674-2530-40662</f>
        <v>-77866</v>
      </c>
      <c r="AF21" s="50">
        <v>-74558</v>
      </c>
      <c r="AG21" s="50">
        <v>-60453</v>
      </c>
      <c r="AH21" s="50">
        <v>-61037</v>
      </c>
      <c r="AI21" s="50">
        <v>-64055</v>
      </c>
      <c r="AJ21" s="50">
        <v>-69708</v>
      </c>
      <c r="AK21" s="50">
        <v>-72212</v>
      </c>
      <c r="AL21" s="50">
        <v>-69364</v>
      </c>
      <c r="AM21" s="50">
        <v>-74828</v>
      </c>
    </row>
    <row r="22" spans="2:39" customFormat="1" ht="15">
      <c r="B22" s="18" t="s">
        <v>177</v>
      </c>
      <c r="C22" s="1"/>
      <c r="D22" s="51">
        <f>SUM(D17,D21)</f>
        <v>626556</v>
      </c>
      <c r="E22" s="51">
        <f t="shared" ref="E22:G22" si="10">SUM(E17,E21)</f>
        <v>732639</v>
      </c>
      <c r="F22" s="51">
        <f t="shared" si="10"/>
        <v>717861</v>
      </c>
      <c r="G22" s="51">
        <f t="shared" si="10"/>
        <v>1024313</v>
      </c>
      <c r="H22" s="51">
        <f>SUM(H17,H21)</f>
        <v>1763132</v>
      </c>
      <c r="I22" s="51">
        <f>SUM(I17,I21)</f>
        <v>2187665</v>
      </c>
      <c r="J22" s="51">
        <v>2226001</v>
      </c>
      <c r="K22" s="51">
        <v>2175285</v>
      </c>
      <c r="L22" s="51">
        <v>1188591</v>
      </c>
      <c r="M22" s="11"/>
      <c r="N22" s="51">
        <f t="shared" ref="N22:U22" si="11">SUM(N17,N21)</f>
        <v>170241</v>
      </c>
      <c r="O22" s="51">
        <f t="shared" si="11"/>
        <v>143975.75</v>
      </c>
      <c r="P22" s="51">
        <f t="shared" si="11"/>
        <v>195358</v>
      </c>
      <c r="Q22" s="51">
        <f t="shared" si="11"/>
        <v>208286.25</v>
      </c>
      <c r="R22" s="51">
        <f t="shared" si="11"/>
        <v>226760</v>
      </c>
      <c r="S22" s="51">
        <f t="shared" si="11"/>
        <v>268930</v>
      </c>
      <c r="T22" s="51">
        <f t="shared" si="11"/>
        <v>240402</v>
      </c>
      <c r="U22" s="51">
        <f t="shared" si="11"/>
        <v>288221</v>
      </c>
      <c r="V22" s="51">
        <f>SUM(V17,V21)</f>
        <v>342727</v>
      </c>
      <c r="W22" s="51">
        <f>SUM(W17,W21)</f>
        <v>434407.17829000001</v>
      </c>
      <c r="X22" s="51">
        <f t="shared" ref="X22:AG22" si="12">SUM(X18:X21)</f>
        <v>473883.99999999994</v>
      </c>
      <c r="Y22" s="51">
        <f t="shared" si="12"/>
        <v>512113.82170999993</v>
      </c>
      <c r="Z22" s="51">
        <f t="shared" si="12"/>
        <v>524059</v>
      </c>
      <c r="AA22" s="51">
        <f t="shared" si="12"/>
        <v>554155</v>
      </c>
      <c r="AB22" s="51">
        <f t="shared" si="12"/>
        <v>568227</v>
      </c>
      <c r="AC22" s="51">
        <f t="shared" si="12"/>
        <v>541224</v>
      </c>
      <c r="AD22" s="51">
        <f t="shared" si="12"/>
        <v>582799</v>
      </c>
      <c r="AE22" s="51">
        <f t="shared" si="12"/>
        <v>585343</v>
      </c>
      <c r="AF22" s="51">
        <f t="shared" si="12"/>
        <v>570821</v>
      </c>
      <c r="AG22" s="51">
        <f t="shared" si="12"/>
        <v>487038</v>
      </c>
      <c r="AH22" s="51">
        <v>499318</v>
      </c>
      <c r="AI22" s="51">
        <v>545807</v>
      </c>
      <c r="AJ22" s="51">
        <v>567857</v>
      </c>
      <c r="AK22" s="51">
        <v>562303</v>
      </c>
      <c r="AL22" s="51">
        <v>574958</v>
      </c>
      <c r="AM22" s="51">
        <v>613633</v>
      </c>
    </row>
    <row r="23" spans="2:39" customFormat="1" ht="15">
      <c r="B23" s="17" t="s">
        <v>25</v>
      </c>
      <c r="C23" s="1"/>
      <c r="D23" s="50">
        <f t="shared" ref="D23:I23" si="13">SUM(D24:D29)</f>
        <v>-341640.34697000001</v>
      </c>
      <c r="E23" s="50">
        <f t="shared" si="13"/>
        <v>-396956.00000000006</v>
      </c>
      <c r="F23" s="50">
        <f t="shared" si="13"/>
        <v>-455665</v>
      </c>
      <c r="G23" s="50">
        <f t="shared" si="13"/>
        <v>-619652</v>
      </c>
      <c r="H23" s="50">
        <f t="shared" si="13"/>
        <v>-1139945</v>
      </c>
      <c r="I23" s="50">
        <f t="shared" si="13"/>
        <v>-1475816</v>
      </c>
      <c r="J23" s="50">
        <v>-1555404</v>
      </c>
      <c r="K23" s="50">
        <v>-1523868</v>
      </c>
      <c r="L23" s="50">
        <v>-827938</v>
      </c>
      <c r="M23" s="11"/>
      <c r="N23" s="50">
        <f t="shared" ref="N23:U23" si="14">SUM(N24:N29)</f>
        <v>-110159</v>
      </c>
      <c r="O23" s="50">
        <f t="shared" si="14"/>
        <v>-104386</v>
      </c>
      <c r="P23" s="50">
        <f t="shared" si="14"/>
        <v>-112867.6</v>
      </c>
      <c r="Q23" s="50">
        <f t="shared" si="14"/>
        <v>-128252.4</v>
      </c>
      <c r="R23" s="50">
        <f t="shared" si="14"/>
        <v>-137895</v>
      </c>
      <c r="S23" s="50">
        <f t="shared" si="14"/>
        <v>-149990.6</v>
      </c>
      <c r="T23" s="50">
        <f t="shared" si="14"/>
        <v>-156084</v>
      </c>
      <c r="U23" s="50">
        <f t="shared" si="14"/>
        <v>-175682.4</v>
      </c>
      <c r="V23" s="50">
        <f t="shared" ref="V23:W23" si="15">SUM(V24:V29)</f>
        <v>-222931</v>
      </c>
      <c r="W23" s="50">
        <f t="shared" si="15"/>
        <v>-272789.67829000001</v>
      </c>
      <c r="X23" s="50">
        <f t="shared" ref="X23:AF23" si="16">SUM(X24:X29)</f>
        <v>-304428</v>
      </c>
      <c r="Y23" s="50">
        <f t="shared" si="16"/>
        <v>-339796.32171000005</v>
      </c>
      <c r="Z23" s="50">
        <f t="shared" si="16"/>
        <v>-344912</v>
      </c>
      <c r="AA23" s="50">
        <f t="shared" si="16"/>
        <v>-369680</v>
      </c>
      <c r="AB23" s="50">
        <f t="shared" si="16"/>
        <v>-382742</v>
      </c>
      <c r="AC23" s="50">
        <f t="shared" si="16"/>
        <v>-378482</v>
      </c>
      <c r="AD23" s="50">
        <f t="shared" si="16"/>
        <v>-389691</v>
      </c>
      <c r="AE23" s="50">
        <f t="shared" si="16"/>
        <v>-410455</v>
      </c>
      <c r="AF23" s="50">
        <f t="shared" si="16"/>
        <v>-397247</v>
      </c>
      <c r="AG23" s="50">
        <v>-358011</v>
      </c>
      <c r="AH23" s="50">
        <v>-355530</v>
      </c>
      <c r="AI23" s="50">
        <v>-380981.93542540527</v>
      </c>
      <c r="AJ23" s="50">
        <v>-396737.06457459473</v>
      </c>
      <c r="AK23" s="50">
        <v>-390619</v>
      </c>
      <c r="AL23" s="50">
        <v>-401037</v>
      </c>
      <c r="AM23" s="50">
        <v>-426901</v>
      </c>
    </row>
    <row r="24" spans="2:39" customFormat="1" ht="15">
      <c r="B24" s="19" t="s">
        <v>346</v>
      </c>
      <c r="C24" s="1"/>
      <c r="D24" s="47">
        <v>-161439</v>
      </c>
      <c r="E24" s="47">
        <v>-178904.74817000001</v>
      </c>
      <c r="F24" s="47">
        <v>-194181</v>
      </c>
      <c r="G24" s="47">
        <v>-283228</v>
      </c>
      <c r="H24" s="47">
        <f t="shared" ref="H24:H29" si="17">SUM(V24:Y24)</f>
        <v>-426534</v>
      </c>
      <c r="I24" s="47">
        <v>-528486</v>
      </c>
      <c r="J24" s="47">
        <v>-547158</v>
      </c>
      <c r="K24" s="47">
        <v>-579991</v>
      </c>
      <c r="L24" s="47">
        <v>-325881</v>
      </c>
      <c r="M24" s="11"/>
      <c r="N24" s="47">
        <v>-45936</v>
      </c>
      <c r="O24" s="47">
        <v>-41531</v>
      </c>
      <c r="P24" s="47">
        <v>-48927</v>
      </c>
      <c r="Q24" s="47">
        <f t="shared" ref="Q24:Q29" si="18">F24-SUM(N24:P24)</f>
        <v>-57787</v>
      </c>
      <c r="R24" s="47">
        <v>-65905</v>
      </c>
      <c r="S24" s="47">
        <v>-71005</v>
      </c>
      <c r="T24" s="47">
        <v>-73123</v>
      </c>
      <c r="U24" s="47">
        <v>-73195</v>
      </c>
      <c r="V24" s="47">
        <v>-89377</v>
      </c>
      <c r="W24" s="47">
        <v>-99666.085289999988</v>
      </c>
      <c r="X24" s="47">
        <v>-115892</v>
      </c>
      <c r="Y24" s="47">
        <v>-121598.91471000004</v>
      </c>
      <c r="Z24" s="47">
        <v>-125526</v>
      </c>
      <c r="AA24" s="47">
        <v>-134909</v>
      </c>
      <c r="AB24" s="47">
        <v>-135431</v>
      </c>
      <c r="AC24" s="47">
        <v>-132620</v>
      </c>
      <c r="AD24" s="47">
        <v>-133559</v>
      </c>
      <c r="AE24" s="47">
        <f>-148187</f>
        <v>-148187</v>
      </c>
      <c r="AF24" s="47">
        <v>-135669</v>
      </c>
      <c r="AG24" s="47">
        <v>-129743</v>
      </c>
      <c r="AH24" s="47">
        <v>-129756</v>
      </c>
      <c r="AI24" s="47">
        <v>-147156</v>
      </c>
      <c r="AJ24" s="47">
        <v>-154787</v>
      </c>
      <c r="AK24" s="47">
        <v>-148292</v>
      </c>
      <c r="AL24" s="47">
        <v>-155683</v>
      </c>
      <c r="AM24" s="47">
        <v>-170198</v>
      </c>
    </row>
    <row r="25" spans="2:39" customFormat="1" ht="15">
      <c r="B25" s="19" t="s">
        <v>12</v>
      </c>
      <c r="C25" s="1"/>
      <c r="D25" s="47">
        <v>-62839.184480000004</v>
      </c>
      <c r="E25" s="47">
        <v>-76654.258000000002</v>
      </c>
      <c r="F25" s="47">
        <v>-114226</v>
      </c>
      <c r="G25" s="47">
        <v>-157509</v>
      </c>
      <c r="H25" s="47">
        <f t="shared" si="17"/>
        <v>-318703</v>
      </c>
      <c r="I25" s="47">
        <v>-409441</v>
      </c>
      <c r="J25" s="47">
        <v>-448711</v>
      </c>
      <c r="K25" s="47">
        <v>-431076</v>
      </c>
      <c r="L25" s="47">
        <v>-230335</v>
      </c>
      <c r="M25" s="11"/>
      <c r="N25" s="47">
        <v>-25625</v>
      </c>
      <c r="O25" s="47">
        <v>-27649</v>
      </c>
      <c r="P25" s="47">
        <v>-28361</v>
      </c>
      <c r="Q25" s="47">
        <f t="shared" si="18"/>
        <v>-32591</v>
      </c>
      <c r="R25" s="47">
        <v>-33644</v>
      </c>
      <c r="S25" s="47">
        <v>-39174</v>
      </c>
      <c r="T25" s="47">
        <v>-39295</v>
      </c>
      <c r="U25" s="47">
        <v>-45396</v>
      </c>
      <c r="V25" s="47">
        <v>-63168</v>
      </c>
      <c r="W25" s="47">
        <v>-79921.076000000001</v>
      </c>
      <c r="X25" s="47">
        <v>-77832</v>
      </c>
      <c r="Y25" s="47">
        <v>-97781.923999999999</v>
      </c>
      <c r="Z25" s="47">
        <v>-92816</v>
      </c>
      <c r="AA25" s="47">
        <v>-104545</v>
      </c>
      <c r="AB25" s="47">
        <v>-108681</v>
      </c>
      <c r="AC25" s="47">
        <v>-103399</v>
      </c>
      <c r="AD25" s="47">
        <v>-112403</v>
      </c>
      <c r="AE25" s="47">
        <f>-116418</f>
        <v>-116418</v>
      </c>
      <c r="AF25" s="47">
        <v>-119559</v>
      </c>
      <c r="AG25" s="47">
        <v>-100331</v>
      </c>
      <c r="AH25" s="47">
        <v>-104189</v>
      </c>
      <c r="AI25" s="47">
        <v>-106245</v>
      </c>
      <c r="AJ25" s="47">
        <v>-110867</v>
      </c>
      <c r="AK25" s="47">
        <v>-109775</v>
      </c>
      <c r="AL25" s="47">
        <v>-113881</v>
      </c>
      <c r="AM25" s="47">
        <v>-116454</v>
      </c>
    </row>
    <row r="26" spans="2:39" customFormat="1" ht="15">
      <c r="B26" s="19" t="s">
        <v>245</v>
      </c>
      <c r="C26" s="1"/>
      <c r="D26" s="47">
        <v>-30430</v>
      </c>
      <c r="E26" s="47">
        <v>-33002.036090000001</v>
      </c>
      <c r="F26" s="47">
        <v>-31857</v>
      </c>
      <c r="G26" s="47">
        <v>-52573</v>
      </c>
      <c r="H26" s="47">
        <f t="shared" si="17"/>
        <v>-171596</v>
      </c>
      <c r="I26" s="47">
        <v>-252300</v>
      </c>
      <c r="J26" s="47">
        <v>-258070</v>
      </c>
      <c r="K26" s="47">
        <v>-231631</v>
      </c>
      <c r="L26" s="47">
        <v>-127315</v>
      </c>
      <c r="M26" s="11"/>
      <c r="N26" s="47">
        <v>-9081</v>
      </c>
      <c r="O26" s="47">
        <v>-8161</v>
      </c>
      <c r="P26" s="47">
        <v>-7977</v>
      </c>
      <c r="Q26" s="47">
        <f t="shared" si="18"/>
        <v>-6638</v>
      </c>
      <c r="R26" s="47">
        <v>-9468</v>
      </c>
      <c r="S26" s="47">
        <v>-9787</v>
      </c>
      <c r="T26" s="47">
        <v>-12728</v>
      </c>
      <c r="U26" s="47">
        <v>-20590</v>
      </c>
      <c r="V26" s="47">
        <v>-28406</v>
      </c>
      <c r="W26" s="47">
        <v>-40427.213000000003</v>
      </c>
      <c r="X26" s="47">
        <v>-50252</v>
      </c>
      <c r="Y26" s="47">
        <v>-52510.786999999997</v>
      </c>
      <c r="Z26" s="47">
        <v>-57269</v>
      </c>
      <c r="AA26" s="47">
        <v>-60792</v>
      </c>
      <c r="AB26" s="47">
        <v>-67526</v>
      </c>
      <c r="AC26" s="47">
        <v>-66713</v>
      </c>
      <c r="AD26" s="47">
        <v>-67613</v>
      </c>
      <c r="AE26" s="47">
        <f>-67091</f>
        <v>-67091</v>
      </c>
      <c r="AF26" s="47">
        <v>-68922</v>
      </c>
      <c r="AG26" s="47">
        <v>-54444</v>
      </c>
      <c r="AH26" s="47">
        <v>-55074</v>
      </c>
      <c r="AI26" s="47">
        <v>-57401</v>
      </c>
      <c r="AJ26" s="47">
        <v>-59719</v>
      </c>
      <c r="AK26" s="47">
        <v>-59437</v>
      </c>
      <c r="AL26" s="47">
        <v>-60619</v>
      </c>
      <c r="AM26" s="47">
        <v>-66696</v>
      </c>
    </row>
    <row r="27" spans="2:39" customFormat="1" ht="15">
      <c r="B27" s="19" t="s">
        <v>26</v>
      </c>
      <c r="C27" s="1"/>
      <c r="D27" s="47">
        <v>-23184</v>
      </c>
      <c r="E27" s="47">
        <v>-29633.095979999998</v>
      </c>
      <c r="F27" s="47">
        <v>-32719</v>
      </c>
      <c r="G27" s="47">
        <v>-37059</v>
      </c>
      <c r="H27" s="47">
        <f t="shared" si="17"/>
        <v>-61571</v>
      </c>
      <c r="I27" s="47">
        <v>-87706</v>
      </c>
      <c r="J27" s="47">
        <v>-99475</v>
      </c>
      <c r="K27" s="47">
        <v>-92464</v>
      </c>
      <c r="L27" s="47">
        <v>-48919</v>
      </c>
      <c r="M27" s="11"/>
      <c r="N27" s="47">
        <v>-8347</v>
      </c>
      <c r="O27" s="47">
        <v>-7758</v>
      </c>
      <c r="P27" s="47">
        <v>-7338</v>
      </c>
      <c r="Q27" s="47">
        <f t="shared" si="18"/>
        <v>-9276</v>
      </c>
      <c r="R27" s="47">
        <v>-8470</v>
      </c>
      <c r="S27" s="47">
        <v>-8382</v>
      </c>
      <c r="T27" s="47">
        <v>-8667</v>
      </c>
      <c r="U27" s="47">
        <v>-11540</v>
      </c>
      <c r="V27" s="47">
        <v>-10422</v>
      </c>
      <c r="W27" s="47">
        <v>-14072.807000000001</v>
      </c>
      <c r="X27" s="47">
        <v>-16986</v>
      </c>
      <c r="Y27" s="47">
        <v>-20090.192999999999</v>
      </c>
      <c r="Z27" s="47">
        <v>-19547</v>
      </c>
      <c r="AA27" s="47">
        <v>-22216</v>
      </c>
      <c r="AB27" s="47">
        <v>-22259</v>
      </c>
      <c r="AC27" s="47">
        <v>-23684</v>
      </c>
      <c r="AD27" s="47">
        <v>-25478</v>
      </c>
      <c r="AE27" s="47">
        <f>-26990</f>
        <v>-26990</v>
      </c>
      <c r="AF27" s="47">
        <v>-24544</v>
      </c>
      <c r="AG27" s="47">
        <v>-22463</v>
      </c>
      <c r="AH27" s="47">
        <v>-21536</v>
      </c>
      <c r="AI27" s="47">
        <v>-22945</v>
      </c>
      <c r="AJ27" s="47">
        <v>-23103</v>
      </c>
      <c r="AK27" s="47">
        <v>-24880</v>
      </c>
      <c r="AL27" s="47">
        <v>-24153</v>
      </c>
      <c r="AM27" s="47">
        <v>-24766</v>
      </c>
    </row>
    <row r="28" spans="2:39" customFormat="1" ht="15">
      <c r="B28" s="19" t="s">
        <v>94</v>
      </c>
      <c r="C28" s="1"/>
      <c r="D28" s="47">
        <v>-28906</v>
      </c>
      <c r="E28" s="47">
        <v>-34146.614970000031</v>
      </c>
      <c r="F28" s="47">
        <v>-29809</v>
      </c>
      <c r="G28" s="47">
        <v>-32486</v>
      </c>
      <c r="H28" s="47">
        <f t="shared" si="17"/>
        <v>-74328</v>
      </c>
      <c r="I28" s="47">
        <v>-82432</v>
      </c>
      <c r="J28" s="47">
        <v>-88707</v>
      </c>
      <c r="K28" s="47">
        <v>-89870</v>
      </c>
      <c r="L28" s="47">
        <v>-42479</v>
      </c>
      <c r="M28" s="11"/>
      <c r="N28" s="47">
        <v>-7146</v>
      </c>
      <c r="O28" s="47">
        <v>-7774</v>
      </c>
      <c r="P28" s="47">
        <v>-5831.5999999999985</v>
      </c>
      <c r="Q28" s="47">
        <f t="shared" si="18"/>
        <v>-9057.4000000000015</v>
      </c>
      <c r="R28" s="47">
        <v>-7054</v>
      </c>
      <c r="S28" s="47">
        <v>-7315.6</v>
      </c>
      <c r="T28" s="47">
        <v>-7367.9999999999982</v>
      </c>
      <c r="U28" s="47">
        <v>-10748.400000000001</v>
      </c>
      <c r="V28" s="47">
        <v>-12691</v>
      </c>
      <c r="W28" s="47">
        <v>-16370</v>
      </c>
      <c r="X28" s="47">
        <v>-19566</v>
      </c>
      <c r="Y28" s="47">
        <v>-25701</v>
      </c>
      <c r="Z28" s="47">
        <v>-20902</v>
      </c>
      <c r="AA28" s="47">
        <v>-20193</v>
      </c>
      <c r="AB28" s="47">
        <v>-20591</v>
      </c>
      <c r="AC28" s="47">
        <v>-20746</v>
      </c>
      <c r="AD28" s="47">
        <v>-21880</v>
      </c>
      <c r="AE28" s="47">
        <f>-21841</f>
        <v>-21841</v>
      </c>
      <c r="AF28" s="47">
        <v>-21428</v>
      </c>
      <c r="AG28" s="47">
        <v>-23558</v>
      </c>
      <c r="AH28" s="47">
        <v>-22034</v>
      </c>
      <c r="AI28" s="47">
        <v>-21983.935425405289</v>
      </c>
      <c r="AJ28" s="47">
        <v>-22429.064574594711</v>
      </c>
      <c r="AK28" s="47">
        <v>-23423</v>
      </c>
      <c r="AL28" s="47">
        <v>-21101</v>
      </c>
      <c r="AM28" s="47">
        <v>-21378</v>
      </c>
    </row>
    <row r="29" spans="2:39" customFormat="1" ht="15">
      <c r="B29" s="19" t="s">
        <v>95</v>
      </c>
      <c r="C29" s="1"/>
      <c r="D29" s="47">
        <v>-34842.162490000002</v>
      </c>
      <c r="E29" s="47">
        <v>-44615.246789999997</v>
      </c>
      <c r="F29" s="47">
        <v>-52873</v>
      </c>
      <c r="G29" s="47">
        <f>-44851-11946</f>
        <v>-56797</v>
      </c>
      <c r="H29" s="47">
        <f t="shared" si="17"/>
        <v>-87213</v>
      </c>
      <c r="I29" s="47">
        <v>-115451</v>
      </c>
      <c r="J29" s="47">
        <v>-113283</v>
      </c>
      <c r="K29" s="47">
        <v>-98836</v>
      </c>
      <c r="L29" s="47">
        <v>-53009</v>
      </c>
      <c r="M29" s="11"/>
      <c r="N29" s="47">
        <v>-14024</v>
      </c>
      <c r="O29" s="47">
        <v>-11513</v>
      </c>
      <c r="P29" s="47">
        <v>-14433</v>
      </c>
      <c r="Q29" s="47">
        <f t="shared" si="18"/>
        <v>-12903</v>
      </c>
      <c r="R29" s="47">
        <v>-13354</v>
      </c>
      <c r="S29" s="47">
        <v>-14327</v>
      </c>
      <c r="T29" s="47">
        <v>-14903</v>
      </c>
      <c r="U29" s="47">
        <v>-14213</v>
      </c>
      <c r="V29" s="47">
        <f>-5096-13771</f>
        <v>-18867</v>
      </c>
      <c r="W29" s="47">
        <v>-22332.497000000003</v>
      </c>
      <c r="X29" s="47">
        <f>-16298-7602</f>
        <v>-23900</v>
      </c>
      <c r="Y29" s="47">
        <v>-22113.502999999997</v>
      </c>
      <c r="Z29" s="47">
        <v>-28852</v>
      </c>
      <c r="AA29" s="47">
        <f>-17270-9755</f>
        <v>-27025</v>
      </c>
      <c r="AB29" s="47">
        <f>-18620-9634</f>
        <v>-28254</v>
      </c>
      <c r="AC29" s="47">
        <v>-31320</v>
      </c>
      <c r="AD29" s="47">
        <v>-28758</v>
      </c>
      <c r="AE29" s="47">
        <f>-20067-9861</f>
        <v>-29928</v>
      </c>
      <c r="AF29" s="47">
        <v>-27125</v>
      </c>
      <c r="AG29" s="47">
        <v>-27472</v>
      </c>
      <c r="AH29" s="47">
        <v>-22941</v>
      </c>
      <c r="AI29" s="47">
        <v>-25251</v>
      </c>
      <c r="AJ29" s="47">
        <v>-25832</v>
      </c>
      <c r="AK29" s="47">
        <v>-24812</v>
      </c>
      <c r="AL29" s="47">
        <v>-25600</v>
      </c>
      <c r="AM29" s="47">
        <v>-27409</v>
      </c>
    </row>
    <row r="30" spans="2:39" customFormat="1" ht="15">
      <c r="B30" s="18" t="s">
        <v>27</v>
      </c>
      <c r="C30" s="1"/>
      <c r="D30" s="51">
        <f t="shared" ref="D30:I30" si="19">D22+D23</f>
        <v>284915.65302999999</v>
      </c>
      <c r="E30" s="51">
        <f t="shared" si="19"/>
        <v>335682.99999999994</v>
      </c>
      <c r="F30" s="51">
        <f t="shared" si="19"/>
        <v>262196</v>
      </c>
      <c r="G30" s="51">
        <f t="shared" si="19"/>
        <v>404661</v>
      </c>
      <c r="H30" s="51">
        <f t="shared" si="19"/>
        <v>623187</v>
      </c>
      <c r="I30" s="51">
        <f t="shared" si="19"/>
        <v>711849</v>
      </c>
      <c r="J30" s="51">
        <v>670597</v>
      </c>
      <c r="K30" s="51">
        <v>651417</v>
      </c>
      <c r="L30" s="51">
        <v>360653</v>
      </c>
      <c r="M30" s="11"/>
      <c r="N30" s="51">
        <f t="shared" ref="N30:AA30" si="20">N22+N23</f>
        <v>60082</v>
      </c>
      <c r="O30" s="51">
        <f t="shared" si="20"/>
        <v>39589.75</v>
      </c>
      <c r="P30" s="51">
        <f t="shared" si="20"/>
        <v>82490.399999999994</v>
      </c>
      <c r="Q30" s="51">
        <f t="shared" si="20"/>
        <v>80033.850000000006</v>
      </c>
      <c r="R30" s="51">
        <f t="shared" si="20"/>
        <v>88865</v>
      </c>
      <c r="S30" s="51">
        <f t="shared" si="20"/>
        <v>118939.4</v>
      </c>
      <c r="T30" s="51">
        <f t="shared" si="20"/>
        <v>84318</v>
      </c>
      <c r="U30" s="51">
        <f t="shared" si="20"/>
        <v>112538.6</v>
      </c>
      <c r="V30" s="51">
        <f t="shared" si="20"/>
        <v>119796</v>
      </c>
      <c r="W30" s="51">
        <f t="shared" si="20"/>
        <v>161617.5</v>
      </c>
      <c r="X30" s="51">
        <f t="shared" si="20"/>
        <v>169455.99999999994</v>
      </c>
      <c r="Y30" s="51">
        <f t="shared" si="20"/>
        <v>172317.49999999988</v>
      </c>
      <c r="Z30" s="51">
        <f t="shared" si="20"/>
        <v>179147</v>
      </c>
      <c r="AA30" s="51">
        <f t="shared" si="20"/>
        <v>184475</v>
      </c>
      <c r="AB30" s="51">
        <f t="shared" ref="AB30:AF30" si="21">AB22+AB23</f>
        <v>185485</v>
      </c>
      <c r="AC30" s="51">
        <f t="shared" si="21"/>
        <v>162742</v>
      </c>
      <c r="AD30" s="51">
        <f t="shared" si="21"/>
        <v>193108</v>
      </c>
      <c r="AE30" s="51">
        <f t="shared" si="21"/>
        <v>174888</v>
      </c>
      <c r="AF30" s="51">
        <f t="shared" si="21"/>
        <v>173574</v>
      </c>
      <c r="AG30" s="51">
        <v>129027</v>
      </c>
      <c r="AH30" s="51">
        <v>143788</v>
      </c>
      <c r="AI30" s="51">
        <v>164825.06457459473</v>
      </c>
      <c r="AJ30" s="51">
        <v>171119.93542540527</v>
      </c>
      <c r="AK30" s="51">
        <v>171684</v>
      </c>
      <c r="AL30" s="51">
        <v>173921</v>
      </c>
      <c r="AM30" s="51">
        <v>186732</v>
      </c>
    </row>
    <row r="31" spans="2:39" s="3" customFormat="1" ht="15">
      <c r="B31" s="20" t="s">
        <v>178</v>
      </c>
      <c r="C31" s="1"/>
      <c r="D31" s="10">
        <f t="shared" ref="D31:I31" si="22">D30/D22</f>
        <v>0.45473294171630307</v>
      </c>
      <c r="E31" s="10">
        <f t="shared" si="22"/>
        <v>0.45818336179209673</v>
      </c>
      <c r="F31" s="10">
        <f t="shared" si="22"/>
        <v>0.3652461966871024</v>
      </c>
      <c r="G31" s="10">
        <f t="shared" si="22"/>
        <v>0.39505600338958891</v>
      </c>
      <c r="H31" s="10">
        <f t="shared" si="22"/>
        <v>0.35345453431733981</v>
      </c>
      <c r="I31" s="10">
        <f t="shared" si="22"/>
        <v>0.32539214184987192</v>
      </c>
      <c r="J31" s="10">
        <v>0.30125637859102489</v>
      </c>
      <c r="K31" s="10">
        <v>0.29946282900861265</v>
      </c>
      <c r="L31" s="10">
        <v>0.3034290180558325</v>
      </c>
      <c r="M31" s="11"/>
      <c r="N31" s="10">
        <f t="shared" ref="N31:AA31" si="23">N30/N22</f>
        <v>0.35292320886272988</v>
      </c>
      <c r="O31" s="10">
        <f t="shared" si="23"/>
        <v>0.27497512601948593</v>
      </c>
      <c r="P31" s="10">
        <f t="shared" si="23"/>
        <v>0.42225248006224469</v>
      </c>
      <c r="Q31" s="10">
        <f t="shared" si="23"/>
        <v>0.3842493203463983</v>
      </c>
      <c r="R31" s="10">
        <f t="shared" si="23"/>
        <v>0.39189010407479274</v>
      </c>
      <c r="S31" s="10">
        <f t="shared" si="23"/>
        <v>0.44226899193098573</v>
      </c>
      <c r="T31" s="10">
        <f t="shared" si="23"/>
        <v>0.35073751466293956</v>
      </c>
      <c r="U31" s="10">
        <f t="shared" si="23"/>
        <v>0.39045940441536187</v>
      </c>
      <c r="V31" s="10">
        <f t="shared" si="23"/>
        <v>0.34953767867719787</v>
      </c>
      <c r="W31" s="10">
        <f t="shared" si="23"/>
        <v>0.37204150409344283</v>
      </c>
      <c r="X31" s="10">
        <f t="shared" si="23"/>
        <v>0.35758962108870518</v>
      </c>
      <c r="Y31" s="10">
        <f t="shared" si="23"/>
        <v>0.3364828143568051</v>
      </c>
      <c r="Z31" s="10">
        <f t="shared" si="23"/>
        <v>0.34184509759397319</v>
      </c>
      <c r="AA31" s="10">
        <f t="shared" si="23"/>
        <v>0.3328942263446148</v>
      </c>
      <c r="AB31" s="10">
        <f>AB30/AB22</f>
        <v>0.32642764247387046</v>
      </c>
      <c r="AC31" s="10">
        <f>AC30/AC22</f>
        <v>0.30069250439743989</v>
      </c>
      <c r="AD31" s="10">
        <f>AD30/AD22</f>
        <v>0.3313457984656803</v>
      </c>
      <c r="AE31" s="10">
        <f>AE30/AE22</f>
        <v>0.29877866481703891</v>
      </c>
      <c r="AF31" s="10">
        <f>AF30/AF22</f>
        <v>0.30407781073226109</v>
      </c>
      <c r="AG31" s="10">
        <v>0.26492183361462557</v>
      </c>
      <c r="AH31" s="10">
        <v>0.28796878942878085</v>
      </c>
      <c r="AI31" s="10">
        <f>AI30/AI22</f>
        <v>0.30198415295991937</v>
      </c>
      <c r="AJ31" s="10">
        <v>0.30134335831979753</v>
      </c>
      <c r="AK31" s="10">
        <v>0.30532293087534657</v>
      </c>
      <c r="AL31" s="10">
        <v>0.30249339951787785</v>
      </c>
      <c r="AM31" s="10">
        <v>0.3043056680458841</v>
      </c>
    </row>
    <row r="32" spans="2:39" customFormat="1" ht="15">
      <c r="B32" s="61" t="s">
        <v>28</v>
      </c>
      <c r="C32" s="1"/>
      <c r="D32" s="50">
        <f t="shared" ref="D32:I32" si="24">SUM(D33:D35)</f>
        <v>-96027</v>
      </c>
      <c r="E32" s="50">
        <f t="shared" si="24"/>
        <v>-116567</v>
      </c>
      <c r="F32" s="50">
        <f t="shared" si="24"/>
        <v>-89258</v>
      </c>
      <c r="G32" s="50">
        <f t="shared" si="24"/>
        <v>-134118.20000000001</v>
      </c>
      <c r="H32" s="50">
        <f t="shared" si="24"/>
        <v>-269092</v>
      </c>
      <c r="I32" s="50">
        <f t="shared" si="24"/>
        <v>-296288</v>
      </c>
      <c r="J32" s="50">
        <v>-298709</v>
      </c>
      <c r="K32" s="50">
        <v>-276928</v>
      </c>
      <c r="L32" s="50">
        <v>-147131</v>
      </c>
      <c r="M32" s="11"/>
      <c r="N32" s="50">
        <f t="shared" ref="N32:AF32" si="25">SUM(N33:N35)</f>
        <v>-22530</v>
      </c>
      <c r="O32" s="50">
        <f t="shared" si="25"/>
        <v>-22462</v>
      </c>
      <c r="P32" s="50">
        <f t="shared" si="25"/>
        <v>-21549.4</v>
      </c>
      <c r="Q32" s="50">
        <f t="shared" si="25"/>
        <v>-22716.6</v>
      </c>
      <c r="R32" s="50">
        <f t="shared" si="25"/>
        <v>-25780</v>
      </c>
      <c r="S32" s="50">
        <f t="shared" si="25"/>
        <v>-26562.400000000001</v>
      </c>
      <c r="T32" s="50">
        <f t="shared" si="25"/>
        <v>-24967</v>
      </c>
      <c r="U32" s="50">
        <f t="shared" si="25"/>
        <v>-56808.800000000003</v>
      </c>
      <c r="V32" s="50">
        <f t="shared" si="25"/>
        <v>-52234.2</v>
      </c>
      <c r="W32" s="50">
        <f t="shared" si="25"/>
        <v>-69039.22099999999</v>
      </c>
      <c r="X32" s="50">
        <f t="shared" si="25"/>
        <v>-70420</v>
      </c>
      <c r="Y32" s="50">
        <f t="shared" si="25"/>
        <v>-77398.578999999998</v>
      </c>
      <c r="Z32" s="50">
        <f t="shared" si="25"/>
        <v>-71415</v>
      </c>
      <c r="AA32" s="50">
        <f t="shared" si="25"/>
        <v>-72642</v>
      </c>
      <c r="AB32" s="50">
        <f t="shared" si="25"/>
        <v>-76235</v>
      </c>
      <c r="AC32" s="50">
        <f t="shared" si="25"/>
        <v>-75996</v>
      </c>
      <c r="AD32" s="50">
        <f t="shared" si="25"/>
        <v>-72569</v>
      </c>
      <c r="AE32" s="50">
        <f t="shared" si="25"/>
        <v>-77037</v>
      </c>
      <c r="AF32" s="50">
        <f t="shared" si="25"/>
        <v>-79928</v>
      </c>
      <c r="AG32" s="50">
        <v>-69175</v>
      </c>
      <c r="AH32" s="50">
        <v>-67234</v>
      </c>
      <c r="AI32" s="50">
        <v>-68256.400000000009</v>
      </c>
      <c r="AJ32" s="50">
        <v>-70862.600000000006</v>
      </c>
      <c r="AK32" s="50">
        <v>-70575</v>
      </c>
      <c r="AL32" s="50">
        <v>-71733</v>
      </c>
      <c r="AM32" s="50">
        <v>-75398</v>
      </c>
    </row>
    <row r="33" spans="2:39" customFormat="1" ht="15">
      <c r="B33" s="19" t="s">
        <v>12</v>
      </c>
      <c r="C33" s="1"/>
      <c r="D33" s="47">
        <v>-78534</v>
      </c>
      <c r="E33" s="47">
        <v>-93849.248949999994</v>
      </c>
      <c r="F33" s="47">
        <v>-68980</v>
      </c>
      <c r="G33" s="47">
        <v>-93808</v>
      </c>
      <c r="H33" s="47">
        <f t="shared" ref="H33:H40" si="26">SUM(V33:Y33)</f>
        <v>-155741</v>
      </c>
      <c r="I33" s="47">
        <v>-189607</v>
      </c>
      <c r="J33" s="47">
        <v>-190625</v>
      </c>
      <c r="K33" s="47">
        <v>-169552</v>
      </c>
      <c r="L33" s="47">
        <v>-86861</v>
      </c>
      <c r="M33" s="11"/>
      <c r="N33" s="47">
        <v>-18169</v>
      </c>
      <c r="O33" s="47">
        <v>-17872</v>
      </c>
      <c r="P33" s="47">
        <v>-14706</v>
      </c>
      <c r="Q33" s="47">
        <f>F33-SUM(N33:P33)</f>
        <v>-18233</v>
      </c>
      <c r="R33" s="47">
        <v>-20773</v>
      </c>
      <c r="S33" s="47">
        <v>-23339</v>
      </c>
      <c r="T33" s="47">
        <v>-21243</v>
      </c>
      <c r="U33" s="47">
        <v>-28453</v>
      </c>
      <c r="V33" s="47">
        <v>-30061</v>
      </c>
      <c r="W33" s="47">
        <v>-34542.233999999997</v>
      </c>
      <c r="X33" s="47">
        <v>-43792</v>
      </c>
      <c r="Y33" s="47">
        <v>-47345.766000000003</v>
      </c>
      <c r="Z33" s="47">
        <v>-44543</v>
      </c>
      <c r="AA33" s="47">
        <v>-46709</v>
      </c>
      <c r="AB33" s="47">
        <v>-48157</v>
      </c>
      <c r="AC33" s="47">
        <v>-50198</v>
      </c>
      <c r="AD33" s="47">
        <v>-46336</v>
      </c>
      <c r="AE33" s="47">
        <f>-50488</f>
        <v>-50488</v>
      </c>
      <c r="AF33" s="47">
        <v>-50492</v>
      </c>
      <c r="AG33" s="47">
        <v>-43309</v>
      </c>
      <c r="AH33" s="47">
        <v>-43422</v>
      </c>
      <c r="AI33" s="47">
        <v>-42434</v>
      </c>
      <c r="AJ33" s="47">
        <v>-41678</v>
      </c>
      <c r="AK33" s="47">
        <v>-42018</v>
      </c>
      <c r="AL33" s="47">
        <v>-43099</v>
      </c>
      <c r="AM33" s="47">
        <v>-43762</v>
      </c>
    </row>
    <row r="34" spans="2:39" customFormat="1" ht="15">
      <c r="B34" s="19" t="s">
        <v>14</v>
      </c>
      <c r="C34" s="1"/>
      <c r="D34" s="47">
        <v>-6571</v>
      </c>
      <c r="E34" s="47">
        <v>-11908.931330000014</v>
      </c>
      <c r="F34" s="47">
        <v>-8091</v>
      </c>
      <c r="G34" s="47">
        <v>-8366.2000000000007</v>
      </c>
      <c r="H34" s="47">
        <f>SUM(V34:Y34)</f>
        <v>-15744</v>
      </c>
      <c r="I34" s="47">
        <v>-19570</v>
      </c>
      <c r="J34" s="47">
        <v>-20334</v>
      </c>
      <c r="K34" s="47">
        <v>-21235</v>
      </c>
      <c r="L34" s="47">
        <v>-15733</v>
      </c>
      <c r="M34" s="11"/>
      <c r="N34" s="47">
        <v>-1838</v>
      </c>
      <c r="O34" s="47">
        <v>-1892</v>
      </c>
      <c r="P34" s="47">
        <v>-3777.4000000000005</v>
      </c>
      <c r="Q34" s="47">
        <f>F34-SUM(N34:P34)</f>
        <v>-583.59999999999945</v>
      </c>
      <c r="R34" s="47">
        <v>-1764</v>
      </c>
      <c r="S34" s="47">
        <v>-1828.4</v>
      </c>
      <c r="T34" s="47">
        <v>-1842.0000000000005</v>
      </c>
      <c r="U34" s="47">
        <v>-2931.8</v>
      </c>
      <c r="V34" s="47">
        <v>-3477.2</v>
      </c>
      <c r="W34" s="47">
        <v>-3749.9610000000011</v>
      </c>
      <c r="X34" s="47">
        <v>-4081</v>
      </c>
      <c r="Y34" s="47">
        <v>-4435.8389999999999</v>
      </c>
      <c r="Z34" s="47">
        <v>-4749</v>
      </c>
      <c r="AA34" s="47">
        <v>-4661</v>
      </c>
      <c r="AB34" s="47">
        <v>-4905</v>
      </c>
      <c r="AC34" s="47">
        <v>-5255</v>
      </c>
      <c r="AD34" s="47">
        <v>-5514</v>
      </c>
      <c r="AE34" s="47">
        <f>-5674</f>
        <v>-5674</v>
      </c>
      <c r="AF34" s="47">
        <v>-5816</v>
      </c>
      <c r="AG34" s="47">
        <v>-3330</v>
      </c>
      <c r="AH34" s="47">
        <v>-5232</v>
      </c>
      <c r="AI34" s="47">
        <v>-5214.3999999999996</v>
      </c>
      <c r="AJ34" s="47">
        <v>-5326.6</v>
      </c>
      <c r="AK34" s="47">
        <v>-5462</v>
      </c>
      <c r="AL34" s="47">
        <v>-7775</v>
      </c>
      <c r="AM34" s="47">
        <v>-7958</v>
      </c>
    </row>
    <row r="35" spans="2:39" customFormat="1" ht="15">
      <c r="B35" s="19" t="s">
        <v>29</v>
      </c>
      <c r="C35" s="1"/>
      <c r="D35" s="47">
        <v>-10922</v>
      </c>
      <c r="E35" s="47">
        <v>-10808.819720000001</v>
      </c>
      <c r="F35" s="47">
        <v>-12187</v>
      </c>
      <c r="G35" s="47">
        <v>-31944</v>
      </c>
      <c r="H35" s="47">
        <f>SUM(V35:Y35)</f>
        <v>-97607</v>
      </c>
      <c r="I35" s="47">
        <f>-2705-60587-23819</f>
        <v>-87111</v>
      </c>
      <c r="J35" s="47">
        <v>-87750</v>
      </c>
      <c r="K35" s="47">
        <v>-86141</v>
      </c>
      <c r="L35" s="47">
        <v>-44537</v>
      </c>
      <c r="M35" s="11"/>
      <c r="N35" s="47">
        <v>-2523</v>
      </c>
      <c r="O35" s="47">
        <v>-2698</v>
      </c>
      <c r="P35" s="47">
        <v>-3066</v>
      </c>
      <c r="Q35" s="47">
        <f>F35-SUM(N35:P35)</f>
        <v>-3900</v>
      </c>
      <c r="R35" s="47">
        <v>-3243</v>
      </c>
      <c r="S35" s="47">
        <v>-1395</v>
      </c>
      <c r="T35" s="47">
        <v>-1882</v>
      </c>
      <c r="U35" s="47">
        <v>-25424</v>
      </c>
      <c r="V35" s="47">
        <v>-18696</v>
      </c>
      <c r="W35" s="47">
        <v>-30747.025999999998</v>
      </c>
      <c r="X35" s="47">
        <v>-22547</v>
      </c>
      <c r="Y35" s="47">
        <v>-25616.974000000002</v>
      </c>
      <c r="Z35" s="47">
        <v>-22123</v>
      </c>
      <c r="AA35" s="47">
        <v>-21272</v>
      </c>
      <c r="AB35" s="47">
        <f>-7147-15580-446</f>
        <v>-23173</v>
      </c>
      <c r="AC35" s="47">
        <v>-20543</v>
      </c>
      <c r="AD35" s="47">
        <f>-5652-550-14517</f>
        <v>-20719</v>
      </c>
      <c r="AE35" s="47">
        <f>-734-14576-5565</f>
        <v>-20875</v>
      </c>
      <c r="AF35" s="47">
        <v>-23620</v>
      </c>
      <c r="AG35" s="47">
        <v>-22536</v>
      </c>
      <c r="AH35" s="47">
        <v>-18580</v>
      </c>
      <c r="AI35" s="47">
        <v>-20608</v>
      </c>
      <c r="AJ35" s="47">
        <v>-23858</v>
      </c>
      <c r="AK35" s="47">
        <v>-23095</v>
      </c>
      <c r="AL35" s="47">
        <v>-20859</v>
      </c>
      <c r="AM35" s="47">
        <v>-23678</v>
      </c>
    </row>
    <row r="36" spans="2:39" customFormat="1" ht="13.9" customHeight="1">
      <c r="B36" s="17" t="s">
        <v>246</v>
      </c>
      <c r="C36" s="1"/>
      <c r="D36" s="50">
        <v>-4493</v>
      </c>
      <c r="E36" s="50">
        <v>-8157</v>
      </c>
      <c r="F36" s="50">
        <v>-56136</v>
      </c>
      <c r="G36" s="50">
        <v>-28275</v>
      </c>
      <c r="H36" s="50">
        <f>SUM(V36:Y36)</f>
        <v>-16193</v>
      </c>
      <c r="I36" s="50">
        <f>(2655+5393)</f>
        <v>8048</v>
      </c>
      <c r="J36" s="50">
        <v>46529</v>
      </c>
      <c r="K36" s="50">
        <v>-20764</v>
      </c>
      <c r="L36" s="50">
        <v>-8789</v>
      </c>
      <c r="M36" s="11"/>
      <c r="N36" s="50">
        <v>-9788</v>
      </c>
      <c r="O36" s="50">
        <v>-3349</v>
      </c>
      <c r="P36" s="50">
        <v>-4912</v>
      </c>
      <c r="Q36" s="50">
        <f>F36-SUM(N36:P36)</f>
        <v>-38087</v>
      </c>
      <c r="R36" s="50">
        <v>-9815</v>
      </c>
      <c r="S36" s="50">
        <v>-8597</v>
      </c>
      <c r="T36" s="50">
        <v>558</v>
      </c>
      <c r="U36" s="50">
        <v>-10421</v>
      </c>
      <c r="V36" s="50">
        <f>-2736+61</f>
        <v>-2675</v>
      </c>
      <c r="W36" s="50">
        <v>-5502.6545000000369</v>
      </c>
      <c r="X36" s="50">
        <f>-6053+1150</f>
        <v>-4903</v>
      </c>
      <c r="Y36" s="50">
        <v>-3112.3454999999631</v>
      </c>
      <c r="Z36" s="50">
        <v>-1515</v>
      </c>
      <c r="AA36" s="50">
        <f>-259+10559</f>
        <v>10300</v>
      </c>
      <c r="AB36" s="50">
        <f>-509+17</f>
        <v>-492</v>
      </c>
      <c r="AC36" s="50">
        <v>-245</v>
      </c>
      <c r="AD36" s="50">
        <f>-8161-231</f>
        <v>-8392</v>
      </c>
      <c r="AE36" s="50">
        <f>-5803-225</f>
        <v>-6028</v>
      </c>
      <c r="AF36" s="50">
        <f>70945-791</f>
        <v>70154</v>
      </c>
      <c r="AG36" s="50">
        <v>-9205</v>
      </c>
      <c r="AH36" s="50">
        <v>-7240</v>
      </c>
      <c r="AI36" s="50">
        <f>-8573</f>
        <v>-8573</v>
      </c>
      <c r="AJ36" s="50">
        <v>-2152</v>
      </c>
      <c r="AK36" s="50">
        <v>-2799</v>
      </c>
      <c r="AL36" s="50">
        <v>-6713</v>
      </c>
      <c r="AM36" s="50">
        <v>-2076</v>
      </c>
    </row>
    <row r="37" spans="2:39" customFormat="1" ht="15">
      <c r="B37" s="17" t="s">
        <v>361</v>
      </c>
      <c r="C37" s="1"/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-754264</v>
      </c>
      <c r="K37" s="50">
        <v>0</v>
      </c>
      <c r="L37" s="50">
        <v>0</v>
      </c>
      <c r="M37" s="11"/>
      <c r="N37" s="50"/>
      <c r="O37" s="50"/>
      <c r="P37" s="50"/>
      <c r="Q37" s="50"/>
      <c r="R37" s="50"/>
      <c r="S37" s="50"/>
      <c r="T37" s="50"/>
      <c r="U37" s="50"/>
      <c r="V37" s="50">
        <v>0</v>
      </c>
      <c r="W37" s="50">
        <v>0</v>
      </c>
      <c r="X37" s="50">
        <v>0</v>
      </c>
      <c r="Y37" s="50">
        <v>0</v>
      </c>
      <c r="Z37" s="50">
        <v>0</v>
      </c>
      <c r="AA37" s="50">
        <v>0</v>
      </c>
      <c r="AB37" s="50">
        <v>0</v>
      </c>
      <c r="AC37" s="50">
        <v>0</v>
      </c>
      <c r="AD37" s="50">
        <v>0</v>
      </c>
      <c r="AE37" s="50">
        <v>-744142</v>
      </c>
      <c r="AF37" s="50">
        <f>-754264+744142</f>
        <v>-10122</v>
      </c>
      <c r="AG37" s="50">
        <v>0</v>
      </c>
      <c r="AH37" s="50">
        <v>0</v>
      </c>
      <c r="AI37" s="50"/>
      <c r="AJ37" s="50">
        <v>0</v>
      </c>
      <c r="AK37" s="50">
        <v>0</v>
      </c>
      <c r="AL37" s="50">
        <v>0</v>
      </c>
      <c r="AM37" s="50">
        <v>0</v>
      </c>
    </row>
    <row r="38" spans="2:39" customFormat="1" ht="15">
      <c r="B38" s="18" t="s">
        <v>221</v>
      </c>
      <c r="C38" s="1"/>
      <c r="D38" s="51">
        <f t="shared" ref="D38:F38" si="27">D30+D32+D36</f>
        <v>184395.65302999999</v>
      </c>
      <c r="E38" s="51">
        <f t="shared" si="27"/>
        <v>210958.99999999994</v>
      </c>
      <c r="F38" s="51">
        <f t="shared" si="27"/>
        <v>116802</v>
      </c>
      <c r="G38" s="51">
        <f>G30+G32+G36</f>
        <v>242267.8</v>
      </c>
      <c r="H38" s="51">
        <f>H30+H32+H36</f>
        <v>337902</v>
      </c>
      <c r="I38" s="51">
        <f>I30+I32+I36</f>
        <v>423609</v>
      </c>
      <c r="J38" s="51">
        <v>-335847</v>
      </c>
      <c r="K38" s="51">
        <v>353725</v>
      </c>
      <c r="L38" s="51">
        <v>204733</v>
      </c>
      <c r="M38" s="11"/>
      <c r="N38" s="51">
        <f t="shared" ref="N38:AD38" si="28">N30+N32+N36</f>
        <v>27764</v>
      </c>
      <c r="O38" s="51">
        <f t="shared" si="28"/>
        <v>13778.75</v>
      </c>
      <c r="P38" s="51">
        <f t="shared" si="28"/>
        <v>56028.999999999993</v>
      </c>
      <c r="Q38" s="51">
        <f t="shared" si="28"/>
        <v>19230.250000000007</v>
      </c>
      <c r="R38" s="51">
        <f t="shared" si="28"/>
        <v>53270</v>
      </c>
      <c r="S38" s="51">
        <f t="shared" si="28"/>
        <v>83780</v>
      </c>
      <c r="T38" s="51">
        <f t="shared" si="28"/>
        <v>59909</v>
      </c>
      <c r="U38" s="51">
        <f t="shared" si="28"/>
        <v>45308.800000000003</v>
      </c>
      <c r="V38" s="51">
        <f t="shared" si="28"/>
        <v>64886.8</v>
      </c>
      <c r="W38" s="51">
        <f t="shared" si="28"/>
        <v>87075.624499999976</v>
      </c>
      <c r="X38" s="51">
        <f t="shared" si="28"/>
        <v>94132.999999999942</v>
      </c>
      <c r="Y38" s="51">
        <f t="shared" si="28"/>
        <v>91806.575499999919</v>
      </c>
      <c r="Z38" s="51">
        <f t="shared" si="28"/>
        <v>106217</v>
      </c>
      <c r="AA38" s="51">
        <f t="shared" si="28"/>
        <v>122133</v>
      </c>
      <c r="AB38" s="51">
        <f t="shared" si="28"/>
        <v>108758</v>
      </c>
      <c r="AC38" s="51">
        <f t="shared" si="28"/>
        <v>86501</v>
      </c>
      <c r="AD38" s="51">
        <f t="shared" si="28"/>
        <v>112147</v>
      </c>
      <c r="AE38" s="51">
        <f>AE30+AE32+AE36+AE37</f>
        <v>-652319</v>
      </c>
      <c r="AF38" s="51">
        <f>AF30+AF32+AF36+AF37</f>
        <v>153678</v>
      </c>
      <c r="AG38" s="51">
        <v>50647</v>
      </c>
      <c r="AH38" s="51">
        <v>69314</v>
      </c>
      <c r="AI38" s="51">
        <v>87995.664574594717</v>
      </c>
      <c r="AJ38" s="51">
        <v>98105.335425405268</v>
      </c>
      <c r="AK38" s="51">
        <v>98310</v>
      </c>
      <c r="AL38" s="51">
        <v>95475</v>
      </c>
      <c r="AM38" s="51">
        <v>109258</v>
      </c>
    </row>
    <row r="39" spans="2:39" customFormat="1" ht="15">
      <c r="B39" s="19" t="s">
        <v>1</v>
      </c>
      <c r="C39" s="1"/>
      <c r="D39" s="47">
        <v>25584</v>
      </c>
      <c r="E39" s="47">
        <v>22734</v>
      </c>
      <c r="F39" s="47">
        <v>13244</v>
      </c>
      <c r="G39" s="47">
        <v>66874</v>
      </c>
      <c r="H39" s="47">
        <f>SUM(V39:Y39)</f>
        <v>90426</v>
      </c>
      <c r="I39" s="47">
        <v>59459</v>
      </c>
      <c r="J39" s="47">
        <v>89616</v>
      </c>
      <c r="K39" s="47">
        <v>115628</v>
      </c>
      <c r="L39" s="47">
        <v>54181</v>
      </c>
      <c r="M39" s="11"/>
      <c r="N39" s="47">
        <v>4204</v>
      </c>
      <c r="O39" s="47">
        <v>1547</v>
      </c>
      <c r="P39" s="47">
        <v>4328</v>
      </c>
      <c r="Q39" s="47">
        <f>F39-SUM(N39:P39)</f>
        <v>3165</v>
      </c>
      <c r="R39" s="47">
        <v>4578</v>
      </c>
      <c r="S39" s="47">
        <v>13827</v>
      </c>
      <c r="T39" s="47">
        <v>21525</v>
      </c>
      <c r="U39" s="47">
        <v>26944</v>
      </c>
      <c r="V39" s="47">
        <v>30477</v>
      </c>
      <c r="W39" s="47">
        <v>24531.033319999995</v>
      </c>
      <c r="X39" s="47">
        <v>19271</v>
      </c>
      <c r="Y39" s="47">
        <v>16146.966680000012</v>
      </c>
      <c r="Z39" s="47">
        <v>12514</v>
      </c>
      <c r="AA39" s="47">
        <v>13843</v>
      </c>
      <c r="AB39" s="47">
        <v>14382</v>
      </c>
      <c r="AC39" s="47">
        <v>18720</v>
      </c>
      <c r="AD39" s="47">
        <v>13827</v>
      </c>
      <c r="AE39" s="47">
        <v>14019</v>
      </c>
      <c r="AF39" s="47">
        <v>34106</v>
      </c>
      <c r="AG39" s="47">
        <v>27664</v>
      </c>
      <c r="AH39" s="47">
        <v>26543</v>
      </c>
      <c r="AI39" s="47">
        <v>29909</v>
      </c>
      <c r="AJ39" s="47">
        <v>30202</v>
      </c>
      <c r="AK39" s="47">
        <v>28974</v>
      </c>
      <c r="AL39" s="47">
        <v>25788</v>
      </c>
      <c r="AM39" s="47">
        <v>28393</v>
      </c>
    </row>
    <row r="40" spans="2:39" customFormat="1" ht="15">
      <c r="B40" s="19" t="s">
        <v>2</v>
      </c>
      <c r="C40" s="1"/>
      <c r="D40" s="47">
        <v>-19573</v>
      </c>
      <c r="E40" s="47">
        <v>-22595</v>
      </c>
      <c r="F40" s="47">
        <v>-27284</v>
      </c>
      <c r="G40" s="47">
        <v>-88662</v>
      </c>
      <c r="H40" s="47">
        <f t="shared" si="26"/>
        <v>-242494</v>
      </c>
      <c r="I40" s="47">
        <v>-274275</v>
      </c>
      <c r="J40" s="47">
        <v>-252379</v>
      </c>
      <c r="K40" s="47">
        <v>-302268</v>
      </c>
      <c r="L40" s="47">
        <v>-141183</v>
      </c>
      <c r="M40" s="11"/>
      <c r="N40" s="47">
        <v>-8912</v>
      </c>
      <c r="O40" s="47">
        <v>-5515</v>
      </c>
      <c r="P40" s="47">
        <v>-5361</v>
      </c>
      <c r="Q40" s="47">
        <f>F40-SUM(N40:P40)</f>
        <v>-7496</v>
      </c>
      <c r="R40" s="47">
        <v>-18271</v>
      </c>
      <c r="S40" s="47">
        <v>-17385</v>
      </c>
      <c r="T40" s="47">
        <v>-15828</v>
      </c>
      <c r="U40" s="47">
        <v>-37178</v>
      </c>
      <c r="V40" s="47">
        <v>-49809</v>
      </c>
      <c r="W40" s="47">
        <v>-62867.966820000001</v>
      </c>
      <c r="X40" s="47">
        <v>-58777</v>
      </c>
      <c r="Y40" s="47">
        <v>-71040.033179999999</v>
      </c>
      <c r="Z40" s="47">
        <v>-69855</v>
      </c>
      <c r="AA40" s="47">
        <v>-70545</v>
      </c>
      <c r="AB40" s="47">
        <v>-70260</v>
      </c>
      <c r="AC40" s="47">
        <v>-63615</v>
      </c>
      <c r="AD40" s="47">
        <v>-63114</v>
      </c>
      <c r="AE40" s="47">
        <f>-60646</f>
        <v>-60646</v>
      </c>
      <c r="AF40" s="47">
        <v>-65963</v>
      </c>
      <c r="AG40" s="47">
        <v>-62656</v>
      </c>
      <c r="AH40" s="47">
        <v>-65683</v>
      </c>
      <c r="AI40" s="47">
        <v>-76328</v>
      </c>
      <c r="AJ40" s="47">
        <v>-85706</v>
      </c>
      <c r="AK40" s="47">
        <v>-74551</v>
      </c>
      <c r="AL40" s="47">
        <v>-70169</v>
      </c>
      <c r="AM40" s="47">
        <v>-71014</v>
      </c>
    </row>
    <row r="41" spans="2:39" customFormat="1" ht="15">
      <c r="B41" s="17" t="s">
        <v>30</v>
      </c>
      <c r="C41" s="1"/>
      <c r="D41" s="50">
        <f t="shared" ref="D41:I41" si="29">SUM(D39:D40)</f>
        <v>6011</v>
      </c>
      <c r="E41" s="50">
        <f t="shared" si="29"/>
        <v>139</v>
      </c>
      <c r="F41" s="50">
        <f t="shared" si="29"/>
        <v>-14040</v>
      </c>
      <c r="G41" s="50">
        <f t="shared" si="29"/>
        <v>-21788</v>
      </c>
      <c r="H41" s="50">
        <f t="shared" si="29"/>
        <v>-152068</v>
      </c>
      <c r="I41" s="50">
        <f t="shared" si="29"/>
        <v>-214816</v>
      </c>
      <c r="J41" s="50">
        <v>-162763</v>
      </c>
      <c r="K41" s="50">
        <v>-186640</v>
      </c>
      <c r="L41" s="50">
        <v>-87002</v>
      </c>
      <c r="M41" s="11"/>
      <c r="N41" s="50">
        <f t="shared" ref="N41:U41" si="30">SUM(N39:N40)</f>
        <v>-4708</v>
      </c>
      <c r="O41" s="50">
        <f t="shared" si="30"/>
        <v>-3968</v>
      </c>
      <c r="P41" s="50">
        <f t="shared" si="30"/>
        <v>-1033</v>
      </c>
      <c r="Q41" s="50">
        <f t="shared" si="30"/>
        <v>-4331</v>
      </c>
      <c r="R41" s="50">
        <f t="shared" si="30"/>
        <v>-13693</v>
      </c>
      <c r="S41" s="50">
        <f t="shared" si="30"/>
        <v>-3558</v>
      </c>
      <c r="T41" s="50">
        <f t="shared" si="30"/>
        <v>5697</v>
      </c>
      <c r="U41" s="50">
        <f t="shared" si="30"/>
        <v>-10234</v>
      </c>
      <c r="V41" s="50">
        <f t="shared" ref="V41:AF41" si="31">SUM(V39:V40)</f>
        <v>-19332</v>
      </c>
      <c r="W41" s="50">
        <f t="shared" si="31"/>
        <v>-38336.933500000006</v>
      </c>
      <c r="X41" s="50">
        <f t="shared" si="31"/>
        <v>-39506</v>
      </c>
      <c r="Y41" s="50">
        <f t="shared" si="31"/>
        <v>-54893.066499999986</v>
      </c>
      <c r="Z41" s="50">
        <f t="shared" si="31"/>
        <v>-57341</v>
      </c>
      <c r="AA41" s="50">
        <f t="shared" si="31"/>
        <v>-56702</v>
      </c>
      <c r="AB41" s="50">
        <f t="shared" si="31"/>
        <v>-55878</v>
      </c>
      <c r="AC41" s="50">
        <v>-44895</v>
      </c>
      <c r="AD41" s="50">
        <f t="shared" si="31"/>
        <v>-49287</v>
      </c>
      <c r="AE41" s="50">
        <f t="shared" si="31"/>
        <v>-46627</v>
      </c>
      <c r="AF41" s="50">
        <f t="shared" si="31"/>
        <v>-31857</v>
      </c>
      <c r="AG41" s="50">
        <v>-34992</v>
      </c>
      <c r="AH41" s="50">
        <v>-39140</v>
      </c>
      <c r="AI41" s="50">
        <v>-46419</v>
      </c>
      <c r="AJ41" s="50">
        <v>-55504</v>
      </c>
      <c r="AK41" s="50">
        <v>-45577</v>
      </c>
      <c r="AL41" s="50">
        <v>-44381</v>
      </c>
      <c r="AM41" s="50">
        <v>-42621</v>
      </c>
    </row>
    <row r="42" spans="2:39" customFormat="1" ht="15">
      <c r="B42" s="18" t="s">
        <v>222</v>
      </c>
      <c r="C42" s="1"/>
      <c r="D42" s="51">
        <f t="shared" ref="D42:F42" si="32">D38+D41</f>
        <v>190406.65302999999</v>
      </c>
      <c r="E42" s="51">
        <f t="shared" si="32"/>
        <v>211097.99999999994</v>
      </c>
      <c r="F42" s="51">
        <f t="shared" si="32"/>
        <v>102762</v>
      </c>
      <c r="G42" s="51">
        <f>G38+G41</f>
        <v>220479.8</v>
      </c>
      <c r="H42" s="51">
        <f>H38+H41</f>
        <v>185834</v>
      </c>
      <c r="I42" s="51">
        <f>I38+I41</f>
        <v>208793</v>
      </c>
      <c r="J42" s="51">
        <f>J38+J41</f>
        <v>-498610</v>
      </c>
      <c r="K42" s="51">
        <v>167085</v>
      </c>
      <c r="L42" s="51">
        <v>117731</v>
      </c>
      <c r="M42" s="11"/>
      <c r="N42" s="51">
        <f t="shared" ref="N42:U42" si="33">N38+N41</f>
        <v>23056</v>
      </c>
      <c r="O42" s="51">
        <f t="shared" si="33"/>
        <v>9810.75</v>
      </c>
      <c r="P42" s="51">
        <f t="shared" si="33"/>
        <v>54995.999999999993</v>
      </c>
      <c r="Q42" s="51">
        <f t="shared" si="33"/>
        <v>14899.250000000007</v>
      </c>
      <c r="R42" s="51">
        <f t="shared" si="33"/>
        <v>39577</v>
      </c>
      <c r="S42" s="51">
        <f t="shared" si="33"/>
        <v>80222</v>
      </c>
      <c r="T42" s="51">
        <f t="shared" si="33"/>
        <v>65606</v>
      </c>
      <c r="U42" s="51">
        <f t="shared" si="33"/>
        <v>35074.800000000003</v>
      </c>
      <c r="V42" s="51">
        <f t="shared" ref="V42:AF42" si="34">V38+V41</f>
        <v>45554.8</v>
      </c>
      <c r="W42" s="51">
        <f t="shared" si="34"/>
        <v>48738.69099999997</v>
      </c>
      <c r="X42" s="51">
        <f t="shared" si="34"/>
        <v>54626.999999999942</v>
      </c>
      <c r="Y42" s="51">
        <f t="shared" si="34"/>
        <v>36913.508999999933</v>
      </c>
      <c r="Z42" s="51">
        <f t="shared" si="34"/>
        <v>48876</v>
      </c>
      <c r="AA42" s="51">
        <f t="shared" si="34"/>
        <v>65431</v>
      </c>
      <c r="AB42" s="51">
        <f t="shared" si="34"/>
        <v>52880</v>
      </c>
      <c r="AC42" s="51">
        <f t="shared" si="34"/>
        <v>41606</v>
      </c>
      <c r="AD42" s="51">
        <f t="shared" si="34"/>
        <v>62860</v>
      </c>
      <c r="AE42" s="51">
        <f t="shared" si="34"/>
        <v>-698946</v>
      </c>
      <c r="AF42" s="51">
        <f t="shared" si="34"/>
        <v>121821</v>
      </c>
      <c r="AG42" s="51">
        <v>15655</v>
      </c>
      <c r="AH42" s="51">
        <v>30174</v>
      </c>
      <c r="AI42" s="51">
        <v>41576.664574594717</v>
      </c>
      <c r="AJ42" s="51">
        <v>42601.335425405268</v>
      </c>
      <c r="AK42" s="51">
        <v>52733</v>
      </c>
      <c r="AL42" s="51">
        <v>51094</v>
      </c>
      <c r="AM42" s="51">
        <v>66637</v>
      </c>
    </row>
    <row r="43" spans="2:39" customFormat="1" ht="15">
      <c r="B43" s="17" t="s">
        <v>176</v>
      </c>
      <c r="C43" s="1"/>
      <c r="D43" s="50">
        <v>-65972</v>
      </c>
      <c r="E43" s="50">
        <v>-72994</v>
      </c>
      <c r="F43" s="50">
        <v>-30119</v>
      </c>
      <c r="G43" s="50">
        <v>-73634</v>
      </c>
      <c r="H43" s="50">
        <f>SUM(V43:Y43)</f>
        <v>-63147</v>
      </c>
      <c r="I43" s="50">
        <v>-67546</v>
      </c>
      <c r="J43" s="50">
        <v>174706</v>
      </c>
      <c r="K43" s="50">
        <v>-55169</v>
      </c>
      <c r="L43" s="50">
        <v>-40178</v>
      </c>
      <c r="M43" s="11"/>
      <c r="N43" s="50">
        <v>-7659</v>
      </c>
      <c r="O43" s="50">
        <v>-3335</v>
      </c>
      <c r="P43" s="50">
        <v>-18341</v>
      </c>
      <c r="Q43" s="50">
        <f>F43-SUM(N43:P43)</f>
        <v>-784</v>
      </c>
      <c r="R43" s="50">
        <v>-13123</v>
      </c>
      <c r="S43" s="50">
        <v>-26998</v>
      </c>
      <c r="T43" s="50">
        <v>-21972</v>
      </c>
      <c r="U43" s="50">
        <v>-11541</v>
      </c>
      <c r="V43" s="50">
        <v>-14594</v>
      </c>
      <c r="W43" s="50">
        <v>-13964.588000000003</v>
      </c>
      <c r="X43" s="50">
        <v>-15365</v>
      </c>
      <c r="Y43" s="50">
        <v>-19223.411999999997</v>
      </c>
      <c r="Z43" s="50">
        <v>-16294</v>
      </c>
      <c r="AA43" s="50">
        <v>-20487</v>
      </c>
      <c r="AB43" s="50">
        <v>-17649</v>
      </c>
      <c r="AC43" s="50">
        <v>-13116</v>
      </c>
      <c r="AD43" s="50">
        <v>-16901</v>
      </c>
      <c r="AE43" s="50">
        <v>240407</v>
      </c>
      <c r="AF43" s="50">
        <v>-41290</v>
      </c>
      <c r="AG43" s="50">
        <v>-7510</v>
      </c>
      <c r="AH43" s="50">
        <v>-10001</v>
      </c>
      <c r="AI43" s="50">
        <v>-14486</v>
      </c>
      <c r="AJ43" s="50">
        <v>-15119</v>
      </c>
      <c r="AK43" s="50">
        <v>-15563</v>
      </c>
      <c r="AL43" s="50">
        <v>-18528</v>
      </c>
      <c r="AM43" s="50">
        <v>-21650</v>
      </c>
    </row>
    <row r="44" spans="2:39" customFormat="1" ht="15">
      <c r="B44" s="18" t="s">
        <v>31</v>
      </c>
      <c r="C44" s="1"/>
      <c r="D44" s="51">
        <f t="shared" ref="D44:J44" si="35">D42+D43</f>
        <v>124434.65302999999</v>
      </c>
      <c r="E44" s="51">
        <f t="shared" si="35"/>
        <v>138103.99999999994</v>
      </c>
      <c r="F44" s="51">
        <f t="shared" si="35"/>
        <v>72643</v>
      </c>
      <c r="G44" s="51">
        <f t="shared" si="35"/>
        <v>146845.79999999999</v>
      </c>
      <c r="H44" s="51">
        <f t="shared" si="35"/>
        <v>122687</v>
      </c>
      <c r="I44" s="51">
        <f t="shared" si="35"/>
        <v>141247</v>
      </c>
      <c r="J44" s="51">
        <f t="shared" si="35"/>
        <v>-323904</v>
      </c>
      <c r="K44" s="51">
        <v>111916</v>
      </c>
      <c r="L44" s="51">
        <v>77553</v>
      </c>
      <c r="M44" s="11"/>
      <c r="N44" s="51">
        <f t="shared" ref="N44:T44" si="36">N42+N43</f>
        <v>15397</v>
      </c>
      <c r="O44" s="51">
        <f t="shared" si="36"/>
        <v>6475.75</v>
      </c>
      <c r="P44" s="51">
        <f t="shared" si="36"/>
        <v>36654.999999999993</v>
      </c>
      <c r="Q44" s="51">
        <f t="shared" si="36"/>
        <v>14115.250000000007</v>
      </c>
      <c r="R44" s="51">
        <f t="shared" si="36"/>
        <v>26454</v>
      </c>
      <c r="S44" s="51">
        <f t="shared" si="36"/>
        <v>53224</v>
      </c>
      <c r="T44" s="51">
        <f t="shared" si="36"/>
        <v>43634</v>
      </c>
      <c r="U44" s="51">
        <f t="shared" ref="U44:AF44" si="37">U42+U43</f>
        <v>23533.800000000003</v>
      </c>
      <c r="V44" s="51">
        <f t="shared" si="37"/>
        <v>30960.800000000003</v>
      </c>
      <c r="W44" s="51">
        <f t="shared" si="37"/>
        <v>34774.102999999966</v>
      </c>
      <c r="X44" s="51">
        <f t="shared" si="37"/>
        <v>39261.999999999942</v>
      </c>
      <c r="Y44" s="51">
        <f t="shared" si="37"/>
        <v>17690.096999999936</v>
      </c>
      <c r="Z44" s="51">
        <f t="shared" si="37"/>
        <v>32582</v>
      </c>
      <c r="AA44" s="51">
        <f t="shared" si="37"/>
        <v>44944</v>
      </c>
      <c r="AB44" s="51">
        <f t="shared" si="37"/>
        <v>35231</v>
      </c>
      <c r="AC44" s="51">
        <f t="shared" si="37"/>
        <v>28490</v>
      </c>
      <c r="AD44" s="51">
        <f t="shared" si="37"/>
        <v>45959</v>
      </c>
      <c r="AE44" s="51">
        <v>-458539</v>
      </c>
      <c r="AF44" s="51">
        <f t="shared" si="37"/>
        <v>80531</v>
      </c>
      <c r="AG44" s="51">
        <v>8145</v>
      </c>
      <c r="AH44" s="51">
        <v>20173</v>
      </c>
      <c r="AI44" s="51">
        <v>27090.664574594717</v>
      </c>
      <c r="AJ44" s="51">
        <v>27482.335425405268</v>
      </c>
      <c r="AK44" s="51">
        <v>37170</v>
      </c>
      <c r="AL44" s="51">
        <v>32566</v>
      </c>
      <c r="AM44" s="51">
        <v>44987</v>
      </c>
    </row>
    <row r="45" spans="2:39" s="3" customFormat="1" ht="15">
      <c r="B45" s="20" t="s">
        <v>179</v>
      </c>
      <c r="C45" s="1"/>
      <c r="D45" s="10">
        <f t="shared" ref="D45:G45" si="38">D44/D22</f>
        <v>0.19860100777903331</v>
      </c>
      <c r="E45" s="10">
        <f t="shared" si="38"/>
        <v>0.18850211359209643</v>
      </c>
      <c r="F45" s="10">
        <f t="shared" si="38"/>
        <v>0.10119368512845801</v>
      </c>
      <c r="G45" s="10">
        <f t="shared" si="38"/>
        <v>0.14336028147646274</v>
      </c>
      <c r="H45" s="10">
        <f>H44/H22</f>
        <v>6.9584693602067232E-2</v>
      </c>
      <c r="I45" s="10">
        <f>I44/I22</f>
        <v>6.4565187083031453E-2</v>
      </c>
      <c r="J45" s="10">
        <v>-0.14550936859417404</v>
      </c>
      <c r="K45" s="10">
        <v>5.1448890605139096E-2</v>
      </c>
      <c r="L45" s="10">
        <v>6.5247843875647721E-2</v>
      </c>
      <c r="M45" s="11"/>
      <c r="N45" s="10">
        <f t="shared" ref="N45:AF45" si="39">N44/N22</f>
        <v>9.0442372871399959E-2</v>
      </c>
      <c r="O45" s="10">
        <f t="shared" si="39"/>
        <v>4.4978060541445347E-2</v>
      </c>
      <c r="P45" s="10">
        <f t="shared" si="39"/>
        <v>0.18762988974088593</v>
      </c>
      <c r="Q45" s="10">
        <f t="shared" si="39"/>
        <v>6.7768515684544742E-2</v>
      </c>
      <c r="R45" s="10">
        <f t="shared" si="39"/>
        <v>0.11666078673487387</v>
      </c>
      <c r="S45" s="10">
        <f t="shared" si="39"/>
        <v>0.19791023686461162</v>
      </c>
      <c r="T45" s="10">
        <f t="shared" si="39"/>
        <v>0.18150431360803987</v>
      </c>
      <c r="U45" s="10">
        <f t="shared" si="39"/>
        <v>8.1651926820044352E-2</v>
      </c>
      <c r="V45" s="10">
        <f t="shared" si="39"/>
        <v>9.0336623610045325E-2</v>
      </c>
      <c r="W45" s="10">
        <f t="shared" si="39"/>
        <v>8.0049558888241001E-2</v>
      </c>
      <c r="X45" s="10">
        <f t="shared" si="39"/>
        <v>8.2851499523089928E-2</v>
      </c>
      <c r="Y45" s="10">
        <f t="shared" si="39"/>
        <v>3.4543291452144194E-2</v>
      </c>
      <c r="Z45" s="10">
        <f t="shared" si="39"/>
        <v>6.2172388986736229E-2</v>
      </c>
      <c r="AA45" s="10">
        <f t="shared" si="39"/>
        <v>8.1103662332740842E-2</v>
      </c>
      <c r="AB45" s="10">
        <f t="shared" si="39"/>
        <v>6.2001629630411788E-2</v>
      </c>
      <c r="AC45" s="10">
        <f t="shared" si="39"/>
        <v>5.2639942057262794E-2</v>
      </c>
      <c r="AD45" s="10">
        <f t="shared" si="39"/>
        <v>7.8859092071194362E-2</v>
      </c>
      <c r="AE45" s="10">
        <f t="shared" si="39"/>
        <v>-0.78336804232731916</v>
      </c>
      <c r="AF45" s="10">
        <f t="shared" si="39"/>
        <v>0.14107925251523681</v>
      </c>
      <c r="AG45" s="10">
        <v>1.6723541078930187E-2</v>
      </c>
      <c r="AH45" s="10">
        <v>4.0401107110098172E-2</v>
      </c>
      <c r="AI45" s="10">
        <f>AI44/AI22</f>
        <v>4.96341464557888E-2</v>
      </c>
      <c r="AJ45" s="10">
        <v>4.8396577704255241E-2</v>
      </c>
      <c r="AK45" s="10">
        <v>6.6103150792366394E-2</v>
      </c>
      <c r="AL45" s="10">
        <v>5.6640658969872582E-2</v>
      </c>
      <c r="AM45" s="10">
        <v>7.3312550009533392E-2</v>
      </c>
    </row>
    <row r="46" spans="2:39" s="79" customFormat="1" ht="15">
      <c r="B46" s="78" t="s">
        <v>300</v>
      </c>
      <c r="D46" s="50">
        <f>D44</f>
        <v>124434.65302999999</v>
      </c>
      <c r="E46" s="50">
        <f>E44</f>
        <v>138103.99999999994</v>
      </c>
      <c r="F46" s="50">
        <f>F44</f>
        <v>72643</v>
      </c>
      <c r="G46" s="50">
        <v>144919</v>
      </c>
      <c r="H46" s="50">
        <f>SUM(V46:Y46)</f>
        <v>103505</v>
      </c>
      <c r="I46" s="50">
        <v>119654</v>
      </c>
      <c r="J46" s="50">
        <v>-338440</v>
      </c>
      <c r="K46" s="50">
        <v>110511</v>
      </c>
      <c r="L46" s="50">
        <v>77450</v>
      </c>
      <c r="M46" s="11"/>
      <c r="N46" s="50">
        <f t="shared" ref="N46:T46" si="40">N44</f>
        <v>15397</v>
      </c>
      <c r="O46" s="50">
        <f t="shared" si="40"/>
        <v>6475.75</v>
      </c>
      <c r="P46" s="50">
        <f t="shared" si="40"/>
        <v>36654.999999999993</v>
      </c>
      <c r="Q46" s="50">
        <f t="shared" si="40"/>
        <v>14115.250000000007</v>
      </c>
      <c r="R46" s="50">
        <f t="shared" si="40"/>
        <v>26454</v>
      </c>
      <c r="S46" s="50">
        <f t="shared" si="40"/>
        <v>53224</v>
      </c>
      <c r="T46" s="50">
        <f t="shared" si="40"/>
        <v>43634</v>
      </c>
      <c r="U46" s="50">
        <v>21607</v>
      </c>
      <c r="V46" s="50">
        <v>26585</v>
      </c>
      <c r="W46" s="50">
        <v>29221.352949999971</v>
      </c>
      <c r="X46" s="50">
        <v>33725</v>
      </c>
      <c r="Y46" s="50">
        <v>13973.647050000029</v>
      </c>
      <c r="Z46" s="50">
        <v>27213</v>
      </c>
      <c r="AA46" s="50">
        <v>38092</v>
      </c>
      <c r="AB46" s="50">
        <v>28548</v>
      </c>
      <c r="AC46" s="50">
        <v>25801</v>
      </c>
      <c r="AD46" s="50">
        <v>42183</v>
      </c>
      <c r="AE46" s="50">
        <v>-464267</v>
      </c>
      <c r="AF46" s="50">
        <v>75366</v>
      </c>
      <c r="AG46" s="50">
        <v>8278</v>
      </c>
      <c r="AH46" s="50">
        <v>19931</v>
      </c>
      <c r="AI46" s="50">
        <v>26234.54</v>
      </c>
      <c r="AJ46" s="50">
        <v>26865</v>
      </c>
      <c r="AK46" s="50">
        <v>37480</v>
      </c>
      <c r="AL46" s="50">
        <v>33205</v>
      </c>
      <c r="AM46" s="50">
        <v>44245</v>
      </c>
    </row>
    <row r="47" spans="2:39" s="79" customFormat="1" ht="15">
      <c r="B47" s="78" t="s">
        <v>301</v>
      </c>
      <c r="D47" s="50"/>
      <c r="E47" s="50"/>
      <c r="F47" s="50"/>
      <c r="G47" s="50">
        <v>1927</v>
      </c>
      <c r="H47" s="50">
        <f>SUM(V47:Y47)</f>
        <v>19181.999999999825</v>
      </c>
      <c r="I47" s="50">
        <v>21593</v>
      </c>
      <c r="J47" s="50">
        <v>14536</v>
      </c>
      <c r="K47" s="50">
        <v>1405</v>
      </c>
      <c r="L47" s="50">
        <v>103</v>
      </c>
      <c r="M47" s="11"/>
      <c r="N47" s="50"/>
      <c r="O47" s="50"/>
      <c r="P47" s="50"/>
      <c r="Q47" s="50"/>
      <c r="R47" s="50"/>
      <c r="S47" s="50"/>
      <c r="T47" s="50"/>
      <c r="U47" s="50">
        <v>1927</v>
      </c>
      <c r="V47" s="50">
        <v>4376</v>
      </c>
      <c r="W47" s="50">
        <f>W44-W46</f>
        <v>5552.7500499999951</v>
      </c>
      <c r="X47" s="50">
        <f>X44-X46</f>
        <v>5536.9999999999418</v>
      </c>
      <c r="Y47" s="50">
        <v>3716.2499499998885</v>
      </c>
      <c r="Z47" s="50">
        <f>Z44-Z46</f>
        <v>5369</v>
      </c>
      <c r="AA47" s="50">
        <f>AA44-AA46</f>
        <v>6852</v>
      </c>
      <c r="AB47" s="50">
        <f>AB44-AB46</f>
        <v>6683</v>
      </c>
      <c r="AC47" s="50">
        <f>AC44-AC46</f>
        <v>2689</v>
      </c>
      <c r="AD47" s="50">
        <v>3776</v>
      </c>
      <c r="AE47" s="50">
        <v>5728</v>
      </c>
      <c r="AF47" s="50">
        <v>5165</v>
      </c>
      <c r="AG47" s="50">
        <v>-133</v>
      </c>
      <c r="AH47" s="50">
        <v>242</v>
      </c>
      <c r="AI47" s="50">
        <v>856.45999999999913</v>
      </c>
      <c r="AJ47" s="50">
        <v>616.54000000000087</v>
      </c>
      <c r="AK47" s="50">
        <v>-310</v>
      </c>
      <c r="AL47" s="50">
        <v>-639</v>
      </c>
      <c r="AM47" s="50">
        <v>742</v>
      </c>
    </row>
    <row r="48" spans="2:39" s="79" customFormat="1" ht="15">
      <c r="B48" s="94" t="s">
        <v>350</v>
      </c>
      <c r="D48" s="92"/>
      <c r="E48" s="92"/>
      <c r="F48" s="92"/>
      <c r="G48" s="92"/>
      <c r="H48" s="92"/>
      <c r="I48" s="92"/>
      <c r="J48" s="92"/>
      <c r="K48" s="92"/>
      <c r="L48" s="92"/>
      <c r="M48" s="11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</row>
    <row r="49" spans="2:39" ht="17.100000000000001" customHeight="1">
      <c r="M49" s="11"/>
      <c r="AM49" s="1"/>
    </row>
    <row r="50" spans="2:39" ht="15">
      <c r="B50" s="67" t="s">
        <v>309</v>
      </c>
      <c r="D50" s="63">
        <v>2018</v>
      </c>
      <c r="E50" s="63">
        <v>2019</v>
      </c>
      <c r="F50" s="63">
        <v>2020</v>
      </c>
      <c r="G50" s="63">
        <v>2021</v>
      </c>
      <c r="H50" s="63">
        <v>2022</v>
      </c>
      <c r="I50" s="63">
        <v>2023</v>
      </c>
      <c r="J50" s="63">
        <v>2024</v>
      </c>
      <c r="K50" s="63">
        <v>2025</v>
      </c>
      <c r="L50" s="63" t="s">
        <v>412</v>
      </c>
      <c r="M50" s="11"/>
      <c r="N50" s="68" t="s">
        <v>19</v>
      </c>
      <c r="O50" s="68" t="str">
        <f>O6</f>
        <v>2T20</v>
      </c>
      <c r="P50" s="68" t="s">
        <v>250</v>
      </c>
      <c r="Q50" s="68" t="s">
        <v>259</v>
      </c>
      <c r="R50" s="68" t="s">
        <v>20</v>
      </c>
      <c r="S50" s="68" t="s">
        <v>193</v>
      </c>
      <c r="T50" s="68" t="s">
        <v>249</v>
      </c>
      <c r="U50" s="68" t="s">
        <v>260</v>
      </c>
      <c r="V50" s="63" t="s">
        <v>291</v>
      </c>
      <c r="W50" s="63" t="s">
        <v>308</v>
      </c>
      <c r="X50" s="63" t="s">
        <v>318</v>
      </c>
      <c r="Y50" s="63" t="s">
        <v>328</v>
      </c>
      <c r="Z50" s="63" t="s">
        <v>335</v>
      </c>
      <c r="AA50" s="63" t="s">
        <v>340</v>
      </c>
      <c r="AB50" s="63" t="s">
        <v>343</v>
      </c>
      <c r="AC50" s="63" t="s">
        <v>347</v>
      </c>
      <c r="AD50" s="63" t="s">
        <v>353</v>
      </c>
      <c r="AE50" s="63" t="s">
        <v>358</v>
      </c>
      <c r="AF50" s="63" t="s">
        <v>374</v>
      </c>
      <c r="AG50" s="63" t="s">
        <v>386</v>
      </c>
      <c r="AH50" s="63" t="s">
        <v>392</v>
      </c>
      <c r="AI50" s="63" t="s">
        <v>395</v>
      </c>
      <c r="AJ50" s="63" t="s">
        <v>399</v>
      </c>
      <c r="AK50" s="63" t="s">
        <v>403</v>
      </c>
      <c r="AL50" s="63" t="s">
        <v>406</v>
      </c>
      <c r="AM50" s="63" t="s">
        <v>411</v>
      </c>
    </row>
    <row r="51" spans="2:39" s="3" customFormat="1" ht="15">
      <c r="B51" s="22" t="s">
        <v>316</v>
      </c>
      <c r="C51" s="1"/>
      <c r="D51" s="47">
        <v>0</v>
      </c>
      <c r="E51" s="47">
        <v>0</v>
      </c>
      <c r="F51" s="47">
        <v>0</v>
      </c>
      <c r="G51" s="47">
        <v>0</v>
      </c>
      <c r="H51" s="47">
        <f>SUM(V51:Y51)</f>
        <v>71906</v>
      </c>
      <c r="I51" s="47">
        <f>(143630-H51)</f>
        <v>71724</v>
      </c>
      <c r="J51" s="47">
        <v>67600</v>
      </c>
      <c r="K51" s="47"/>
      <c r="L51" s="47">
        <v>0</v>
      </c>
      <c r="M51" s="11"/>
      <c r="N51" s="47"/>
      <c r="O51" s="47"/>
      <c r="P51" s="47"/>
      <c r="Q51" s="47"/>
      <c r="R51" s="47">
        <v>0</v>
      </c>
      <c r="S51" s="47">
        <v>0</v>
      </c>
      <c r="T51" s="47">
        <v>0</v>
      </c>
      <c r="U51" s="47">
        <v>0</v>
      </c>
      <c r="V51" s="47">
        <f t="shared" ref="V51:X51" si="41">71906/4</f>
        <v>17976.5</v>
      </c>
      <c r="W51" s="47">
        <f t="shared" si="41"/>
        <v>17976.5</v>
      </c>
      <c r="X51" s="47">
        <f t="shared" si="41"/>
        <v>17976.5</v>
      </c>
      <c r="Y51" s="47">
        <f>71906/4</f>
        <v>17976.5</v>
      </c>
      <c r="Z51" s="47">
        <f>+I51/4</f>
        <v>17931</v>
      </c>
      <c r="AA51" s="47">
        <f>+Z51</f>
        <v>17931</v>
      </c>
      <c r="AB51" s="47">
        <f>AA51</f>
        <v>17931</v>
      </c>
      <c r="AC51" s="47">
        <f>+AB51</f>
        <v>17931</v>
      </c>
      <c r="AD51" s="47">
        <v>17954</v>
      </c>
      <c r="AE51" s="47">
        <v>18162</v>
      </c>
      <c r="AF51" s="47">
        <v>15000</v>
      </c>
      <c r="AG51" s="47">
        <v>16484</v>
      </c>
      <c r="AH51" s="47"/>
      <c r="AI51" s="47"/>
      <c r="AJ51" s="47"/>
      <c r="AK51" s="47"/>
      <c r="AL51" s="47">
        <v>0</v>
      </c>
      <c r="AM51" s="47">
        <v>0</v>
      </c>
    </row>
    <row r="52" spans="2:39" s="3" customFormat="1" ht="15">
      <c r="B52" s="22" t="s">
        <v>289</v>
      </c>
      <c r="C52" s="1"/>
      <c r="D52" s="47">
        <f t="shared" ref="D52:G52" si="42">D72*(1-0.34)</f>
        <v>0</v>
      </c>
      <c r="E52" s="47">
        <f t="shared" si="42"/>
        <v>0</v>
      </c>
      <c r="F52" s="47">
        <f t="shared" si="42"/>
        <v>0</v>
      </c>
      <c r="G52" s="47">
        <f t="shared" si="42"/>
        <v>11080.079999999998</v>
      </c>
      <c r="H52" s="47">
        <f>SUM(V52:X52)</f>
        <v>9225.48</v>
      </c>
      <c r="I52" s="47">
        <v>0</v>
      </c>
      <c r="J52" s="47">
        <v>0</v>
      </c>
      <c r="K52" s="47"/>
      <c r="L52" s="47">
        <v>0</v>
      </c>
      <c r="M52" s="11"/>
      <c r="N52" s="47"/>
      <c r="O52" s="47"/>
      <c r="P52" s="47"/>
      <c r="Q52" s="47"/>
      <c r="R52" s="47">
        <f t="shared" ref="R52:U52" si="43">R72*(1-0.34)</f>
        <v>0</v>
      </c>
      <c r="S52" s="47">
        <f t="shared" si="43"/>
        <v>0</v>
      </c>
      <c r="T52" s="47">
        <f t="shared" si="43"/>
        <v>0</v>
      </c>
      <c r="U52" s="47">
        <f t="shared" si="43"/>
        <v>11080.079999999998</v>
      </c>
      <c r="V52" s="47">
        <f>V72*(1-0.34)</f>
        <v>1454.2543883999997</v>
      </c>
      <c r="W52" s="47">
        <f>W72*(1-0.34)</f>
        <v>6433.1312232</v>
      </c>
      <c r="X52" s="47">
        <f>X72*(1-0.34)</f>
        <v>1338.0943883999998</v>
      </c>
      <c r="Y52" s="47">
        <v>0</v>
      </c>
      <c r="Z52" s="47">
        <v>0</v>
      </c>
      <c r="AA52" s="47">
        <v>0</v>
      </c>
      <c r="AB52" s="47">
        <v>0</v>
      </c>
      <c r="AC52" s="47">
        <f>I52-Z52-AA52-AB52</f>
        <v>0</v>
      </c>
      <c r="AD52" s="47">
        <f>M52-AA52-AB52-AC52</f>
        <v>0</v>
      </c>
      <c r="AE52" s="47">
        <v>0</v>
      </c>
      <c r="AF52" s="47">
        <v>0</v>
      </c>
      <c r="AG52" s="47"/>
      <c r="AH52" s="47"/>
      <c r="AI52" s="47"/>
      <c r="AJ52" s="47"/>
      <c r="AK52" s="47"/>
      <c r="AL52" s="47">
        <v>0</v>
      </c>
      <c r="AM52" s="47">
        <v>0</v>
      </c>
    </row>
    <row r="53" spans="2:39" s="3" customFormat="1" ht="15">
      <c r="B53" s="24" t="s">
        <v>290</v>
      </c>
      <c r="C53" s="1"/>
      <c r="D53" s="47">
        <f t="shared" ref="D53:G53" si="44">D73*(1-0.34)</f>
        <v>0</v>
      </c>
      <c r="E53" s="47">
        <f t="shared" si="44"/>
        <v>0</v>
      </c>
      <c r="F53" s="47">
        <f t="shared" si="44"/>
        <v>0</v>
      </c>
      <c r="G53" s="47">
        <f t="shared" si="44"/>
        <v>2242.0199999999995</v>
      </c>
      <c r="H53" s="47">
        <f>SUM(V53:X53)</f>
        <v>4693.5893399999995</v>
      </c>
      <c r="I53" s="47">
        <v>0</v>
      </c>
      <c r="J53" s="47">
        <v>0</v>
      </c>
      <c r="K53" s="47"/>
      <c r="L53" s="47">
        <v>0</v>
      </c>
      <c r="M53" s="11"/>
      <c r="N53" s="47">
        <f t="shared" ref="N53:U53" si="45">N73*(1-0.34)</f>
        <v>0</v>
      </c>
      <c r="O53" s="47">
        <f t="shared" si="45"/>
        <v>0</v>
      </c>
      <c r="P53" s="47">
        <f t="shared" si="45"/>
        <v>0</v>
      </c>
      <c r="Q53" s="47">
        <f t="shared" si="45"/>
        <v>0</v>
      </c>
      <c r="R53" s="47">
        <f t="shared" si="45"/>
        <v>0</v>
      </c>
      <c r="S53" s="47">
        <f t="shared" si="45"/>
        <v>69.959999999999994</v>
      </c>
      <c r="T53" s="47">
        <f t="shared" si="45"/>
        <v>458.69999999999993</v>
      </c>
      <c r="U53" s="47">
        <f t="shared" si="45"/>
        <v>1713.36</v>
      </c>
      <c r="V53" s="47">
        <f>V73*(1-0.34)</f>
        <v>2478.2999999999997</v>
      </c>
      <c r="W53" s="47">
        <f>W73*(1-0.34)</f>
        <v>2215.2893399999998</v>
      </c>
      <c r="X53" s="47">
        <v>0</v>
      </c>
      <c r="Y53" s="47">
        <v>0</v>
      </c>
      <c r="Z53" s="47">
        <v>0</v>
      </c>
      <c r="AA53" s="47">
        <v>0</v>
      </c>
      <c r="AB53" s="47">
        <v>0</v>
      </c>
      <c r="AC53" s="47">
        <v>0</v>
      </c>
      <c r="AD53" s="47">
        <v>0</v>
      </c>
      <c r="AE53" s="47">
        <v>0</v>
      </c>
      <c r="AF53" s="47">
        <v>0</v>
      </c>
      <c r="AG53" s="47"/>
      <c r="AH53" s="47"/>
      <c r="AI53" s="47"/>
      <c r="AJ53" s="47"/>
      <c r="AK53" s="47"/>
      <c r="AL53" s="47">
        <v>0</v>
      </c>
      <c r="AM53" s="47">
        <v>0</v>
      </c>
    </row>
    <row r="54" spans="2:39" s="3" customFormat="1" ht="15">
      <c r="B54" s="24" t="s">
        <v>368</v>
      </c>
      <c r="C54" s="1"/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3475.2068999999997</v>
      </c>
      <c r="K54" s="47"/>
      <c r="L54" s="47">
        <v>0</v>
      </c>
      <c r="M54" s="11"/>
      <c r="N54" s="47"/>
      <c r="O54" s="47"/>
      <c r="P54" s="47"/>
      <c r="Q54" s="47"/>
      <c r="R54" s="47"/>
      <c r="S54" s="47"/>
      <c r="T54" s="47"/>
      <c r="U54" s="47"/>
      <c r="V54" s="47">
        <v>0</v>
      </c>
      <c r="W54" s="47">
        <v>0</v>
      </c>
      <c r="X54" s="47">
        <f>E54-U54-V54-W54</f>
        <v>0</v>
      </c>
      <c r="Y54" s="47">
        <v>0</v>
      </c>
      <c r="Z54" s="47">
        <v>0</v>
      </c>
      <c r="AA54" s="47">
        <v>0</v>
      </c>
      <c r="AB54" s="47">
        <v>0</v>
      </c>
      <c r="AC54" s="47">
        <v>0</v>
      </c>
      <c r="AD54" s="47">
        <v>0</v>
      </c>
      <c r="AE54" s="47">
        <f t="shared" ref="AE54" si="46">AE74*(1-0.34)</f>
        <v>651.06689999999992</v>
      </c>
      <c r="AF54" s="47">
        <v>2823.6581999999999</v>
      </c>
      <c r="AG54" s="47"/>
      <c r="AH54" s="47"/>
      <c r="AI54" s="47"/>
      <c r="AJ54" s="47"/>
      <c r="AK54" s="47"/>
      <c r="AL54" s="47">
        <v>0</v>
      </c>
      <c r="AM54" s="47">
        <v>0</v>
      </c>
    </row>
    <row r="55" spans="2:39" s="3" customFormat="1" ht="15">
      <c r="B55" s="24" t="s">
        <v>361</v>
      </c>
      <c r="C55" s="1"/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497814.23999999993</v>
      </c>
      <c r="K55" s="47"/>
      <c r="L55" s="47">
        <v>0</v>
      </c>
      <c r="M55" s="11"/>
      <c r="N55" s="47"/>
      <c r="O55" s="47"/>
      <c r="P55" s="47"/>
      <c r="Q55" s="47"/>
      <c r="R55" s="47"/>
      <c r="S55" s="47"/>
      <c r="T55" s="47"/>
      <c r="U55" s="47"/>
      <c r="V55" s="47">
        <v>0</v>
      </c>
      <c r="W55" s="47">
        <v>0</v>
      </c>
      <c r="X55" s="47">
        <f>E55-U55-V55-W55</f>
        <v>0</v>
      </c>
      <c r="Y55" s="47">
        <v>0</v>
      </c>
      <c r="Z55" s="47">
        <v>0</v>
      </c>
      <c r="AA55" s="47">
        <v>0</v>
      </c>
      <c r="AB55" s="47">
        <v>0</v>
      </c>
      <c r="AC55" s="47">
        <v>0</v>
      </c>
      <c r="AD55" s="47">
        <v>0</v>
      </c>
      <c r="AE55" s="47">
        <f>AE75*(1-0.34)</f>
        <v>491133.71999999991</v>
      </c>
      <c r="AF55" s="47">
        <v>6680.5199999999713</v>
      </c>
      <c r="AG55" s="47"/>
      <c r="AH55" s="47"/>
      <c r="AI55" s="47"/>
      <c r="AJ55" s="47"/>
      <c r="AK55" s="47"/>
      <c r="AL55" s="47">
        <v>0</v>
      </c>
      <c r="AM55" s="47">
        <v>0</v>
      </c>
    </row>
    <row r="56" spans="2:39" s="3" customFormat="1" ht="15">
      <c r="B56" s="24" t="s">
        <v>377</v>
      </c>
      <c r="C56" s="1"/>
      <c r="D56" s="47"/>
      <c r="E56" s="47"/>
      <c r="F56" s="47"/>
      <c r="G56" s="47"/>
      <c r="H56" s="47">
        <v>0</v>
      </c>
      <c r="I56" s="47">
        <v>0</v>
      </c>
      <c r="J56" s="47">
        <f>0.66*J76</f>
        <v>-48823.5</v>
      </c>
      <c r="K56" s="47"/>
      <c r="L56" s="47">
        <v>0</v>
      </c>
      <c r="M56" s="11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>
        <v>0</v>
      </c>
      <c r="AA56" s="47">
        <v>0</v>
      </c>
      <c r="AB56" s="47">
        <v>0</v>
      </c>
      <c r="AC56" s="47">
        <v>0</v>
      </c>
      <c r="AD56" s="47">
        <v>0</v>
      </c>
      <c r="AE56" s="47">
        <v>0</v>
      </c>
      <c r="AF56" s="47">
        <v>-48823.5</v>
      </c>
      <c r="AG56" s="47"/>
      <c r="AH56" s="47"/>
      <c r="AI56" s="47"/>
      <c r="AJ56" s="47"/>
      <c r="AK56" s="47"/>
      <c r="AL56" s="47">
        <v>0</v>
      </c>
      <c r="AM56" s="47">
        <v>0</v>
      </c>
    </row>
    <row r="57" spans="2:39" s="3" customFormat="1" ht="15">
      <c r="B57" s="24" t="s">
        <v>407</v>
      </c>
      <c r="C57" s="1"/>
      <c r="D57" s="47"/>
      <c r="E57" s="47"/>
      <c r="F57" s="47"/>
      <c r="G57" s="47"/>
      <c r="H57" s="47"/>
      <c r="I57" s="47"/>
      <c r="J57" s="47"/>
      <c r="K57" s="47"/>
      <c r="L57" s="47">
        <v>3702.9206742000006</v>
      </c>
      <c r="M57" s="11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>
        <v>3702.9206742000006</v>
      </c>
      <c r="AM57" s="47">
        <v>0</v>
      </c>
    </row>
    <row r="58" spans="2:39" customFormat="1" ht="15">
      <c r="B58" s="18" t="s">
        <v>268</v>
      </c>
      <c r="C58" s="1"/>
      <c r="D58" s="51">
        <f t="shared" ref="D58" si="47">D44+SUM(D51:D53)</f>
        <v>124434.65302999999</v>
      </c>
      <c r="E58" s="51">
        <f t="shared" ref="E58" si="48">E44+SUM(E51:E53)</f>
        <v>138103.99999999994</v>
      </c>
      <c r="F58" s="51">
        <f t="shared" ref="F58" si="49">F44+SUM(F51:F53)</f>
        <v>72643</v>
      </c>
      <c r="G58" s="51">
        <f t="shared" ref="G58" si="50">G44+SUM(G51:G53)</f>
        <v>160167.9</v>
      </c>
      <c r="H58" s="51">
        <f>H44+SUM(H51:H56)</f>
        <v>208512.06933999999</v>
      </c>
      <c r="I58" s="51">
        <f>I44+SUM(I51:I56)</f>
        <v>212971</v>
      </c>
      <c r="J58" s="51">
        <f>J44+J51+J54+J55+J56</f>
        <v>196161.94689999992</v>
      </c>
      <c r="K58" s="51">
        <v>111916</v>
      </c>
      <c r="L58" s="51">
        <v>77553</v>
      </c>
      <c r="M58" s="11"/>
      <c r="N58" s="51">
        <f>N44</f>
        <v>15397</v>
      </c>
      <c r="O58" s="51">
        <f>O44</f>
        <v>6475.75</v>
      </c>
      <c r="P58" s="51">
        <f>P44</f>
        <v>36654.999999999993</v>
      </c>
      <c r="Q58" s="51">
        <f>Q44+Q60+Q53</f>
        <v>14115.250000000007</v>
      </c>
      <c r="R58" s="51">
        <f t="shared" ref="R58:V58" si="51">R44+SUM(R51:R53)</f>
        <v>26454</v>
      </c>
      <c r="S58" s="51">
        <f t="shared" si="51"/>
        <v>53293.96</v>
      </c>
      <c r="T58" s="51">
        <f t="shared" si="51"/>
        <v>44092.7</v>
      </c>
      <c r="U58" s="51">
        <f t="shared" si="51"/>
        <v>36327.240000000005</v>
      </c>
      <c r="V58" s="51">
        <f t="shared" si="51"/>
        <v>52869.854388400003</v>
      </c>
      <c r="W58" s="51">
        <f t="shared" ref="W58:AD58" si="52">W44+SUM(W51:W53)</f>
        <v>61399.023563199968</v>
      </c>
      <c r="X58" s="51">
        <f t="shared" si="52"/>
        <v>58576.594388399943</v>
      </c>
      <c r="Y58" s="51">
        <f t="shared" si="52"/>
        <v>35666.596999999936</v>
      </c>
      <c r="Z58" s="51">
        <f t="shared" si="52"/>
        <v>50513</v>
      </c>
      <c r="AA58" s="51">
        <f t="shared" si="52"/>
        <v>62875</v>
      </c>
      <c r="AB58" s="51">
        <f t="shared" si="52"/>
        <v>53162</v>
      </c>
      <c r="AC58" s="51">
        <f t="shared" si="52"/>
        <v>46421</v>
      </c>
      <c r="AD58" s="51">
        <f t="shared" si="52"/>
        <v>63913</v>
      </c>
      <c r="AE58" s="51">
        <f>AE44+SUM(AE51:AE55)</f>
        <v>51407.78689999989</v>
      </c>
      <c r="AF58" s="51">
        <f>AF44+SUM(AF51:AF56)</f>
        <v>56211.678199999966</v>
      </c>
      <c r="AG58" s="51">
        <f>AG44+SUM(AG51:AG56)</f>
        <v>24629</v>
      </c>
      <c r="AH58" s="51">
        <v>20173</v>
      </c>
      <c r="AI58" s="51">
        <v>27090.664574594717</v>
      </c>
      <c r="AJ58" s="51">
        <v>27482.335425405268</v>
      </c>
      <c r="AK58" s="51">
        <v>37170</v>
      </c>
      <c r="AL58" s="51">
        <v>36268.920674200002</v>
      </c>
      <c r="AM58" s="51">
        <v>44987</v>
      </c>
    </row>
    <row r="59" spans="2:39" s="3" customFormat="1" ht="15">
      <c r="B59" s="20" t="s">
        <v>294</v>
      </c>
      <c r="C59" s="1"/>
      <c r="D59" s="10">
        <f>D58/$D$22</f>
        <v>0.19860100777903331</v>
      </c>
      <c r="E59" s="10">
        <f t="shared" ref="E59:I59" si="53">E58/E22</f>
        <v>0.18850211359209643</v>
      </c>
      <c r="F59" s="10">
        <f t="shared" si="53"/>
        <v>0.10119368512845801</v>
      </c>
      <c r="G59" s="10">
        <f t="shared" si="53"/>
        <v>0.15636616932519648</v>
      </c>
      <c r="H59" s="10">
        <f t="shared" si="53"/>
        <v>0.11826231350800734</v>
      </c>
      <c r="I59" s="10">
        <f t="shared" si="53"/>
        <v>9.7350828394658237E-2</v>
      </c>
      <c r="J59" s="10">
        <f>J58/J22</f>
        <v>8.8123027303222204E-2</v>
      </c>
      <c r="K59" s="10">
        <v>5.1448890605139096E-2</v>
      </c>
      <c r="L59" s="10">
        <v>6.5247843875647693E-2</v>
      </c>
      <c r="M59" s="11"/>
      <c r="N59" s="10">
        <f t="shared" ref="N59:Z59" si="54">N58/N22</f>
        <v>9.0442372871399959E-2</v>
      </c>
      <c r="O59" s="10">
        <f t="shared" si="54"/>
        <v>4.4978060541445347E-2</v>
      </c>
      <c r="P59" s="10">
        <f t="shared" si="54"/>
        <v>0.18762988974088593</v>
      </c>
      <c r="Q59" s="10">
        <f t="shared" si="54"/>
        <v>6.7768515684544742E-2</v>
      </c>
      <c r="R59" s="10">
        <f t="shared" si="54"/>
        <v>0.11666078673487387</v>
      </c>
      <c r="S59" s="10">
        <f t="shared" si="54"/>
        <v>0.19817037890900976</v>
      </c>
      <c r="T59" s="10">
        <f t="shared" si="54"/>
        <v>0.18341236761757387</v>
      </c>
      <c r="U59" s="10">
        <f t="shared" si="54"/>
        <v>0.1260395321645543</v>
      </c>
      <c r="V59" s="10">
        <f t="shared" si="54"/>
        <v>0.15426229736320746</v>
      </c>
      <c r="W59" s="10">
        <f t="shared" si="54"/>
        <v>0.14133979968952406</v>
      </c>
      <c r="X59" s="10">
        <f t="shared" si="54"/>
        <v>0.12360956349739588</v>
      </c>
      <c r="Y59" s="10">
        <f t="shared" si="54"/>
        <v>6.9645839436447074E-2</v>
      </c>
      <c r="Z59" s="10">
        <f t="shared" si="54"/>
        <v>9.6388002114265764E-2</v>
      </c>
      <c r="AA59" s="10">
        <f t="shared" ref="AA59:AF59" si="55">AA58/AA22</f>
        <v>0.11346103526991545</v>
      </c>
      <c r="AB59" s="10">
        <f t="shared" si="55"/>
        <v>9.3557680293263085E-2</v>
      </c>
      <c r="AC59" s="10">
        <f t="shared" si="55"/>
        <v>8.5770401903832796E-2</v>
      </c>
      <c r="AD59" s="10">
        <f t="shared" si="55"/>
        <v>0.10966559654357677</v>
      </c>
      <c r="AE59" s="10">
        <f t="shared" si="55"/>
        <v>8.7825064791071036E-2</v>
      </c>
      <c r="AF59" s="10">
        <f t="shared" si="55"/>
        <v>9.8475140543182474E-2</v>
      </c>
      <c r="AG59" s="10">
        <v>5.0568949445423152E-2</v>
      </c>
      <c r="AH59" s="10">
        <v>4.0401107110098172E-2</v>
      </c>
      <c r="AI59" s="10">
        <v>4.96341464557888E-2</v>
      </c>
      <c r="AJ59" s="10">
        <v>4.8396577704255241E-2</v>
      </c>
      <c r="AK59" s="10">
        <v>6.6103150792366394E-2</v>
      </c>
      <c r="AL59" s="10">
        <v>6.3080991436244044E-2</v>
      </c>
      <c r="AM59" s="10">
        <v>7.3312550009533392E-2</v>
      </c>
    </row>
    <row r="60" spans="2:39" s="3" customFormat="1" ht="15">
      <c r="B60" s="22" t="s">
        <v>283</v>
      </c>
      <c r="C60" s="1"/>
      <c r="D60" s="47">
        <f>D80*(1-0.34)</f>
        <v>0</v>
      </c>
      <c r="E60" s="47">
        <f>E80*(1-0.34)</f>
        <v>0</v>
      </c>
      <c r="F60" s="47">
        <f>F80*(1-0.34)</f>
        <v>0</v>
      </c>
      <c r="G60" s="47">
        <f>G80*(1-0.34)</f>
        <v>5650.9199999999992</v>
      </c>
      <c r="H60" s="47">
        <f>SUM(V60:X60)</f>
        <v>5777.6465999999991</v>
      </c>
      <c r="I60" s="47">
        <v>7724.6399999999994</v>
      </c>
      <c r="J60" s="47">
        <v>5493.1799999999994</v>
      </c>
      <c r="K60" s="47"/>
      <c r="L60" s="47"/>
      <c r="M60" s="11"/>
      <c r="N60" s="47">
        <f t="shared" ref="N60:AF60" si="56">N80*(1-0.34)</f>
        <v>0</v>
      </c>
      <c r="O60" s="47">
        <f t="shared" si="56"/>
        <v>0</v>
      </c>
      <c r="P60" s="47">
        <f t="shared" si="56"/>
        <v>0</v>
      </c>
      <c r="Q60" s="47">
        <f t="shared" si="56"/>
        <v>0</v>
      </c>
      <c r="R60" s="47">
        <f t="shared" si="56"/>
        <v>0</v>
      </c>
      <c r="S60" s="47">
        <f t="shared" si="56"/>
        <v>1845.3599999999997</v>
      </c>
      <c r="T60" s="47">
        <f t="shared" si="56"/>
        <v>1858.5599999999997</v>
      </c>
      <c r="U60" s="47">
        <f t="shared" si="56"/>
        <v>1946.9999999999998</v>
      </c>
      <c r="V60" s="47">
        <f t="shared" si="56"/>
        <v>1904.7599999999998</v>
      </c>
      <c r="W60" s="47">
        <f t="shared" si="56"/>
        <v>1925.8865999999998</v>
      </c>
      <c r="X60" s="47">
        <f t="shared" si="56"/>
        <v>1946.9999999999998</v>
      </c>
      <c r="Y60" s="47">
        <f t="shared" si="56"/>
        <v>1946.9933999999996</v>
      </c>
      <c r="Z60" s="47">
        <f t="shared" si="56"/>
        <v>1904.7599999999998</v>
      </c>
      <c r="AA60" s="47">
        <f t="shared" si="56"/>
        <v>1925.8799999999997</v>
      </c>
      <c r="AB60" s="47">
        <f t="shared" si="56"/>
        <v>1946.9999999999998</v>
      </c>
      <c r="AC60" s="47">
        <f t="shared" si="56"/>
        <v>1946.9999999999998</v>
      </c>
      <c r="AD60" s="47">
        <f t="shared" si="56"/>
        <v>1925.8799999999997</v>
      </c>
      <c r="AE60" s="47">
        <f t="shared" si="56"/>
        <v>1230.8999999999999</v>
      </c>
      <c r="AF60" s="47">
        <f t="shared" si="56"/>
        <v>1167.54</v>
      </c>
      <c r="AG60" s="47">
        <v>1168.8599999999999</v>
      </c>
      <c r="AH60" s="47"/>
      <c r="AI60" s="47"/>
      <c r="AJ60" s="47"/>
      <c r="AK60" s="47"/>
      <c r="AL60" s="47"/>
      <c r="AM60" s="47"/>
    </row>
    <row r="61" spans="2:39" customFormat="1" ht="15">
      <c r="B61" s="18" t="s">
        <v>310</v>
      </c>
      <c r="C61" s="1"/>
      <c r="D61" s="51">
        <f>D58</f>
        <v>124434.65302999999</v>
      </c>
      <c r="E61" s="51">
        <f t="shared" ref="E61:F61" si="57">E58</f>
        <v>138103.99999999994</v>
      </c>
      <c r="F61" s="51">
        <f t="shared" si="57"/>
        <v>72643</v>
      </c>
      <c r="G61" s="51">
        <f>G58+G60</f>
        <v>165818.82</v>
      </c>
      <c r="H61" s="51">
        <f>H58+H60</f>
        <v>214289.71593999999</v>
      </c>
      <c r="I61" s="51">
        <f>I58+I60</f>
        <v>220695.64</v>
      </c>
      <c r="J61" s="51">
        <v>250478.62689999997</v>
      </c>
      <c r="K61" s="51">
        <v>111916</v>
      </c>
      <c r="L61" s="51">
        <v>77553</v>
      </c>
      <c r="M61" s="11"/>
    </row>
    <row r="62" spans="2:39" s="3" customFormat="1" ht="15">
      <c r="B62" s="20" t="s">
        <v>294</v>
      </c>
      <c r="C62" s="1"/>
      <c r="D62" s="10">
        <f t="shared" ref="D62:J62" si="58">D61/D22</f>
        <v>0.19860100777903331</v>
      </c>
      <c r="E62" s="10">
        <f t="shared" si="58"/>
        <v>0.18850211359209643</v>
      </c>
      <c r="F62" s="10">
        <f t="shared" si="58"/>
        <v>0.10119368512845801</v>
      </c>
      <c r="G62" s="10">
        <f t="shared" si="58"/>
        <v>0.16188295960316818</v>
      </c>
      <c r="H62" s="10">
        <f t="shared" si="58"/>
        <v>0.12153923582579183</v>
      </c>
      <c r="I62" s="10">
        <f t="shared" si="58"/>
        <v>0.10088182605654888</v>
      </c>
      <c r="J62" s="10">
        <f t="shared" si="58"/>
        <v>0.11252404060016144</v>
      </c>
      <c r="K62" s="10">
        <v>5.1448890605139096E-2</v>
      </c>
      <c r="L62" s="10">
        <v>6.5247843875647721E-2</v>
      </c>
      <c r="M62" s="11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  <row r="63" spans="2:39" ht="15">
      <c r="B63" s="76" t="s">
        <v>284</v>
      </c>
      <c r="D63" s="45"/>
      <c r="E63" s="45"/>
      <c r="F63" s="45"/>
      <c r="G63" s="45"/>
      <c r="H63" s="45"/>
      <c r="I63" s="45"/>
      <c r="J63" s="45"/>
      <c r="K63" s="45"/>
      <c r="L63" s="45"/>
      <c r="M63" s="11"/>
      <c r="N63" s="45"/>
      <c r="O63" s="45"/>
      <c r="P63" s="45"/>
      <c r="Q63" s="45"/>
      <c r="R63" s="88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</row>
    <row r="64" spans="2:39" ht="15">
      <c r="B64" s="76"/>
      <c r="D64" s="45"/>
      <c r="E64" s="45"/>
      <c r="F64" s="45"/>
      <c r="G64" s="45"/>
      <c r="H64" s="88"/>
      <c r="I64" s="88"/>
      <c r="J64" s="88"/>
      <c r="K64" s="88"/>
      <c r="L64" s="88"/>
      <c r="M64" s="11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</row>
    <row r="65" spans="2:39" ht="15.75" thickBot="1">
      <c r="B65" s="67" t="s">
        <v>93</v>
      </c>
      <c r="D65" s="63">
        <v>2018</v>
      </c>
      <c r="E65" s="63">
        <v>2019</v>
      </c>
      <c r="F65" s="63">
        <v>2020</v>
      </c>
      <c r="G65" s="63">
        <v>2021</v>
      </c>
      <c r="H65" s="63">
        <v>2022</v>
      </c>
      <c r="I65" s="63">
        <v>2023</v>
      </c>
      <c r="J65" s="63">
        <v>2024</v>
      </c>
      <c r="K65" s="68">
        <v>2025</v>
      </c>
      <c r="L65" s="68" t="s">
        <v>412</v>
      </c>
      <c r="M65" s="11"/>
      <c r="N65" s="68" t="s">
        <v>19</v>
      </c>
      <c r="O65" s="68" t="str">
        <f>O16</f>
        <v>2T20</v>
      </c>
      <c r="P65" s="68" t="s">
        <v>250</v>
      </c>
      <c r="Q65" s="68" t="s">
        <v>259</v>
      </c>
      <c r="R65" s="68" t="s">
        <v>20</v>
      </c>
      <c r="S65" s="68" t="s">
        <v>193</v>
      </c>
      <c r="T65" s="68" t="s">
        <v>249</v>
      </c>
      <c r="U65" s="68" t="s">
        <v>260</v>
      </c>
      <c r="V65" s="63" t="s">
        <v>291</v>
      </c>
      <c r="W65" s="63" t="s">
        <v>308</v>
      </c>
      <c r="X65" s="63" t="s">
        <v>318</v>
      </c>
      <c r="Y65" s="63" t="s">
        <v>328</v>
      </c>
      <c r="Z65" s="63" t="s">
        <v>335</v>
      </c>
      <c r="AA65" s="63" t="s">
        <v>340</v>
      </c>
      <c r="AB65" s="63" t="s">
        <v>343</v>
      </c>
      <c r="AC65" s="63" t="s">
        <v>347</v>
      </c>
      <c r="AD65" s="63" t="s">
        <v>353</v>
      </c>
      <c r="AE65" s="63" t="s">
        <v>358</v>
      </c>
      <c r="AF65" s="63" t="s">
        <v>374</v>
      </c>
      <c r="AG65" s="63" t="s">
        <v>386</v>
      </c>
      <c r="AH65" s="63" t="s">
        <v>392</v>
      </c>
      <c r="AI65" s="63" t="s">
        <v>395</v>
      </c>
      <c r="AJ65" s="63" t="s">
        <v>399</v>
      </c>
      <c r="AK65" s="63" t="s">
        <v>403</v>
      </c>
      <c r="AL65" s="63" t="s">
        <v>406</v>
      </c>
      <c r="AM65" s="63" t="s">
        <v>411</v>
      </c>
    </row>
    <row r="66" spans="2:39" ht="15.75" thickTop="1">
      <c r="B66" s="21" t="s">
        <v>3</v>
      </c>
      <c r="D66" s="53">
        <f t="shared" ref="D66:I66" si="59">D44</f>
        <v>124434.65302999999</v>
      </c>
      <c r="E66" s="53">
        <f t="shared" si="59"/>
        <v>138103.99999999994</v>
      </c>
      <c r="F66" s="53">
        <f t="shared" si="59"/>
        <v>72643</v>
      </c>
      <c r="G66" s="53">
        <f t="shared" si="59"/>
        <v>146845.79999999999</v>
      </c>
      <c r="H66" s="53">
        <f t="shared" si="59"/>
        <v>122687</v>
      </c>
      <c r="I66" s="53">
        <f t="shared" si="59"/>
        <v>141247</v>
      </c>
      <c r="J66" s="53">
        <v>-323904</v>
      </c>
      <c r="K66" s="53">
        <v>111916</v>
      </c>
      <c r="L66" s="53" t="s">
        <v>413</v>
      </c>
      <c r="M66" s="11"/>
      <c r="N66" s="53">
        <f t="shared" ref="N66:AC66" si="60">N44</f>
        <v>15397</v>
      </c>
      <c r="O66" s="53">
        <f t="shared" si="60"/>
        <v>6475.75</v>
      </c>
      <c r="P66" s="53">
        <f t="shared" si="60"/>
        <v>36654.999999999993</v>
      </c>
      <c r="Q66" s="53">
        <f t="shared" si="60"/>
        <v>14115.250000000007</v>
      </c>
      <c r="R66" s="53">
        <f t="shared" si="60"/>
        <v>26454</v>
      </c>
      <c r="S66" s="53">
        <f t="shared" si="60"/>
        <v>53224</v>
      </c>
      <c r="T66" s="53">
        <f t="shared" si="60"/>
        <v>43634</v>
      </c>
      <c r="U66" s="53">
        <f t="shared" si="60"/>
        <v>23533.800000000003</v>
      </c>
      <c r="V66" s="53">
        <f t="shared" si="60"/>
        <v>30960.800000000003</v>
      </c>
      <c r="W66" s="53">
        <f t="shared" si="60"/>
        <v>34774.102999999966</v>
      </c>
      <c r="X66" s="53">
        <f t="shared" si="60"/>
        <v>39261.999999999942</v>
      </c>
      <c r="Y66" s="53">
        <f t="shared" si="60"/>
        <v>17690.096999999936</v>
      </c>
      <c r="Z66" s="53">
        <f t="shared" si="60"/>
        <v>32582</v>
      </c>
      <c r="AA66" s="53">
        <f t="shared" si="60"/>
        <v>44944</v>
      </c>
      <c r="AB66" s="53">
        <f t="shared" si="60"/>
        <v>35231</v>
      </c>
      <c r="AC66" s="53">
        <f t="shared" si="60"/>
        <v>28490</v>
      </c>
      <c r="AD66" s="53">
        <f t="shared" ref="AD66:AG66" si="61">AD44</f>
        <v>45959</v>
      </c>
      <c r="AE66" s="53">
        <f t="shared" si="61"/>
        <v>-458539</v>
      </c>
      <c r="AF66" s="53">
        <f t="shared" si="61"/>
        <v>80531</v>
      </c>
      <c r="AG66" s="53">
        <f t="shared" si="61"/>
        <v>8145</v>
      </c>
      <c r="AH66" s="53">
        <v>20173</v>
      </c>
      <c r="AI66" s="53">
        <v>27090.664574594717</v>
      </c>
      <c r="AJ66" s="53">
        <v>27482.335425405268</v>
      </c>
      <c r="AK66" s="53">
        <v>37170</v>
      </c>
      <c r="AL66" s="53">
        <v>32566</v>
      </c>
      <c r="AM66" s="53">
        <v>44987</v>
      </c>
    </row>
    <row r="67" spans="2:39" ht="15">
      <c r="B67" s="22" t="s">
        <v>88</v>
      </c>
      <c r="D67" s="46">
        <f t="shared" ref="D67:I67" si="62">-D43</f>
        <v>65972</v>
      </c>
      <c r="E67" s="46">
        <f t="shared" si="62"/>
        <v>72994</v>
      </c>
      <c r="F67" s="46">
        <f t="shared" si="62"/>
        <v>30119</v>
      </c>
      <c r="G67" s="46">
        <f t="shared" si="62"/>
        <v>73634</v>
      </c>
      <c r="H67" s="46">
        <f t="shared" si="62"/>
        <v>63147</v>
      </c>
      <c r="I67" s="46">
        <f t="shared" si="62"/>
        <v>67546</v>
      </c>
      <c r="J67" s="46">
        <v>-174706</v>
      </c>
      <c r="K67" s="46">
        <v>55169</v>
      </c>
      <c r="L67" s="46">
        <v>40178</v>
      </c>
      <c r="M67" s="11"/>
      <c r="N67" s="46">
        <f t="shared" ref="N67:Z67" si="63">-N43</f>
        <v>7659</v>
      </c>
      <c r="O67" s="46">
        <f t="shared" si="63"/>
        <v>3335</v>
      </c>
      <c r="P67" s="46">
        <f t="shared" si="63"/>
        <v>18341</v>
      </c>
      <c r="Q67" s="46">
        <f t="shared" si="63"/>
        <v>784</v>
      </c>
      <c r="R67" s="46">
        <f t="shared" si="63"/>
        <v>13123</v>
      </c>
      <c r="S67" s="46">
        <f t="shared" si="63"/>
        <v>26998</v>
      </c>
      <c r="T67" s="46">
        <f t="shared" si="63"/>
        <v>21972</v>
      </c>
      <c r="U67" s="46">
        <f t="shared" si="63"/>
        <v>11541</v>
      </c>
      <c r="V67" s="46">
        <f t="shared" si="63"/>
        <v>14594</v>
      </c>
      <c r="W67" s="46">
        <f t="shared" si="63"/>
        <v>13964.588000000003</v>
      </c>
      <c r="X67" s="46">
        <f t="shared" si="63"/>
        <v>15365</v>
      </c>
      <c r="Y67" s="46">
        <f t="shared" si="63"/>
        <v>19223.411999999997</v>
      </c>
      <c r="Z67" s="46">
        <f t="shared" si="63"/>
        <v>16294</v>
      </c>
      <c r="AA67" s="46">
        <f t="shared" ref="AA67:AC67" si="64">-AA43</f>
        <v>20487</v>
      </c>
      <c r="AB67" s="46">
        <f t="shared" si="64"/>
        <v>17649</v>
      </c>
      <c r="AC67" s="46">
        <f t="shared" si="64"/>
        <v>13116</v>
      </c>
      <c r="AD67" s="46">
        <f t="shared" ref="AD67:AF67" si="65">-AD43</f>
        <v>16901</v>
      </c>
      <c r="AE67" s="46">
        <f t="shared" si="65"/>
        <v>-240407</v>
      </c>
      <c r="AF67" s="46">
        <f t="shared" si="65"/>
        <v>41290</v>
      </c>
      <c r="AG67" s="46">
        <v>7510</v>
      </c>
      <c r="AH67" s="46">
        <v>10001</v>
      </c>
      <c r="AI67" s="46">
        <v>14486</v>
      </c>
      <c r="AJ67" s="46">
        <v>15119</v>
      </c>
      <c r="AK67" s="46">
        <v>15563</v>
      </c>
      <c r="AL67" s="46">
        <v>18528</v>
      </c>
      <c r="AM67" s="46">
        <v>21650</v>
      </c>
    </row>
    <row r="68" spans="2:39" ht="15">
      <c r="B68" s="22" t="s">
        <v>87</v>
      </c>
      <c r="D68" s="46">
        <f t="shared" ref="D68:I68" si="66">-D41</f>
        <v>-6011</v>
      </c>
      <c r="E68" s="46">
        <f t="shared" si="66"/>
        <v>-139</v>
      </c>
      <c r="F68" s="46">
        <f t="shared" si="66"/>
        <v>14040</v>
      </c>
      <c r="G68" s="46">
        <f t="shared" si="66"/>
        <v>21788</v>
      </c>
      <c r="H68" s="46">
        <f t="shared" si="66"/>
        <v>152068</v>
      </c>
      <c r="I68" s="46">
        <f t="shared" si="66"/>
        <v>214816</v>
      </c>
      <c r="J68" s="46">
        <v>162763</v>
      </c>
      <c r="K68" s="46">
        <v>186640</v>
      </c>
      <c r="L68" s="46">
        <v>87002</v>
      </c>
      <c r="M68" s="11"/>
      <c r="N68" s="46">
        <f t="shared" ref="N68:Z68" si="67">-N41</f>
        <v>4708</v>
      </c>
      <c r="O68" s="46">
        <f t="shared" si="67"/>
        <v>3968</v>
      </c>
      <c r="P68" s="46">
        <f t="shared" si="67"/>
        <v>1033</v>
      </c>
      <c r="Q68" s="46">
        <f t="shared" si="67"/>
        <v>4331</v>
      </c>
      <c r="R68" s="46">
        <f t="shared" si="67"/>
        <v>13693</v>
      </c>
      <c r="S68" s="46">
        <f t="shared" si="67"/>
        <v>3558</v>
      </c>
      <c r="T68" s="46">
        <f t="shared" si="67"/>
        <v>-5697</v>
      </c>
      <c r="U68" s="46">
        <f t="shared" si="67"/>
        <v>10234</v>
      </c>
      <c r="V68" s="46">
        <f t="shared" si="67"/>
        <v>19332</v>
      </c>
      <c r="W68" s="46">
        <f t="shared" si="67"/>
        <v>38336.933500000006</v>
      </c>
      <c r="X68" s="46">
        <f t="shared" si="67"/>
        <v>39506</v>
      </c>
      <c r="Y68" s="46">
        <f t="shared" si="67"/>
        <v>54893.066499999986</v>
      </c>
      <c r="Z68" s="46">
        <f t="shared" si="67"/>
        <v>57341</v>
      </c>
      <c r="AA68" s="46">
        <f t="shared" ref="AA68:AC68" si="68">-AA41</f>
        <v>56702</v>
      </c>
      <c r="AB68" s="46">
        <f t="shared" si="68"/>
        <v>55878</v>
      </c>
      <c r="AC68" s="46">
        <f t="shared" si="68"/>
        <v>44895</v>
      </c>
      <c r="AD68" s="46">
        <f t="shared" ref="AD68:AF68" si="69">-AD41</f>
        <v>49287</v>
      </c>
      <c r="AE68" s="46">
        <f t="shared" si="69"/>
        <v>46627</v>
      </c>
      <c r="AF68" s="46">
        <f t="shared" si="69"/>
        <v>31857</v>
      </c>
      <c r="AG68" s="46">
        <v>34992</v>
      </c>
      <c r="AH68" s="46">
        <v>39140</v>
      </c>
      <c r="AI68" s="46">
        <v>46419</v>
      </c>
      <c r="AJ68" s="46">
        <v>55504</v>
      </c>
      <c r="AK68" s="46">
        <v>45577</v>
      </c>
      <c r="AL68" s="46">
        <v>44381</v>
      </c>
      <c r="AM68" s="46">
        <v>42621</v>
      </c>
    </row>
    <row r="69" spans="2:39" ht="15">
      <c r="B69" s="22" t="s">
        <v>14</v>
      </c>
      <c r="D69" s="46">
        <f>D163</f>
        <v>36309</v>
      </c>
      <c r="E69" s="46">
        <f t="shared" ref="E69:F69" si="70">E163</f>
        <v>46887</v>
      </c>
      <c r="F69" s="46">
        <f t="shared" si="70"/>
        <v>38496</v>
      </c>
      <c r="G69" s="46">
        <v>40778</v>
      </c>
      <c r="H69" s="46">
        <f>SUM(V69:Y69)</f>
        <v>90072</v>
      </c>
      <c r="I69" s="47">
        <f>-(I28+I34)</f>
        <v>102002</v>
      </c>
      <c r="J69" s="47">
        <v>109041</v>
      </c>
      <c r="K69" s="47">
        <v>111105</v>
      </c>
      <c r="L69" s="47">
        <v>58212</v>
      </c>
      <c r="M69" s="11"/>
      <c r="N69" s="46">
        <v>9191</v>
      </c>
      <c r="O69" s="46">
        <f>19064-N69</f>
        <v>9873</v>
      </c>
      <c r="P69" s="46">
        <f>28911-SUM(N69:O69)</f>
        <v>9847</v>
      </c>
      <c r="Q69" s="47">
        <f>F69-SUM(N69:P69)</f>
        <v>9585</v>
      </c>
      <c r="R69" s="46">
        <v>8818</v>
      </c>
      <c r="S69" s="46">
        <f>17962-R69</f>
        <v>9144</v>
      </c>
      <c r="T69" s="46">
        <v>9229</v>
      </c>
      <c r="U69" s="47">
        <v>13587</v>
      </c>
      <c r="V69" s="47">
        <v>16175.93462</v>
      </c>
      <c r="W69" s="47">
        <v>20223.125155460781</v>
      </c>
      <c r="X69" s="47">
        <v>23648</v>
      </c>
      <c r="Y69" s="47">
        <v>30024.940224539219</v>
      </c>
      <c r="Z69" s="47">
        <v>25651</v>
      </c>
      <c r="AA69" s="47">
        <f t="shared" ref="AA69:AF69" si="71">-(AA28+AA34)</f>
        <v>24854</v>
      </c>
      <c r="AB69" s="47">
        <f t="shared" si="71"/>
        <v>25496</v>
      </c>
      <c r="AC69" s="47">
        <f t="shared" si="71"/>
        <v>26001</v>
      </c>
      <c r="AD69" s="47">
        <f t="shared" si="71"/>
        <v>27394</v>
      </c>
      <c r="AE69" s="47">
        <f t="shared" si="71"/>
        <v>27515</v>
      </c>
      <c r="AF69" s="47">
        <f t="shared" si="71"/>
        <v>27244</v>
      </c>
      <c r="AG69" s="47">
        <v>26888</v>
      </c>
      <c r="AH69" s="47">
        <v>27266</v>
      </c>
      <c r="AI69" s="47">
        <v>27198.33542540529</v>
      </c>
      <c r="AJ69" s="47">
        <v>27755.66457459471</v>
      </c>
      <c r="AK69" s="47">
        <v>28885</v>
      </c>
      <c r="AL69" s="47">
        <v>28876</v>
      </c>
      <c r="AM69" s="47">
        <v>29336</v>
      </c>
    </row>
    <row r="70" spans="2:39" ht="15">
      <c r="B70" s="23" t="s">
        <v>0</v>
      </c>
      <c r="D70" s="54">
        <f t="shared" ref="D70:I70" si="72">SUM(D66:D69)</f>
        <v>220704.65302999999</v>
      </c>
      <c r="E70" s="54">
        <f t="shared" si="72"/>
        <v>257845.99999999994</v>
      </c>
      <c r="F70" s="54">
        <f t="shared" si="72"/>
        <v>155298</v>
      </c>
      <c r="G70" s="54">
        <f t="shared" si="72"/>
        <v>283045.8</v>
      </c>
      <c r="H70" s="54">
        <f t="shared" si="72"/>
        <v>427974</v>
      </c>
      <c r="I70" s="54">
        <f t="shared" si="72"/>
        <v>525611</v>
      </c>
      <c r="J70" s="54">
        <v>-226806</v>
      </c>
      <c r="K70" s="54">
        <v>464830</v>
      </c>
      <c r="L70" s="54">
        <v>262945</v>
      </c>
      <c r="M70" s="11"/>
      <c r="N70" s="54">
        <f t="shared" ref="N70:U70" si="73">SUM(N66:N69)</f>
        <v>36955</v>
      </c>
      <c r="O70" s="54">
        <f t="shared" si="73"/>
        <v>23651.75</v>
      </c>
      <c r="P70" s="54">
        <f t="shared" si="73"/>
        <v>65876</v>
      </c>
      <c r="Q70" s="54">
        <f t="shared" si="73"/>
        <v>28815.250000000007</v>
      </c>
      <c r="R70" s="54">
        <f t="shared" si="73"/>
        <v>62088</v>
      </c>
      <c r="S70" s="54">
        <f t="shared" si="73"/>
        <v>92924</v>
      </c>
      <c r="T70" s="54">
        <f t="shared" si="73"/>
        <v>69138</v>
      </c>
      <c r="U70" s="54">
        <f t="shared" si="73"/>
        <v>58895.8</v>
      </c>
      <c r="V70" s="54">
        <f t="shared" ref="V70:AC70" si="74">SUM(V66:V69)</f>
        <v>81062.734620000003</v>
      </c>
      <c r="W70" s="54">
        <f t="shared" si="74"/>
        <v>107298.74965546076</v>
      </c>
      <c r="X70" s="54">
        <f t="shared" si="74"/>
        <v>117780.99999999994</v>
      </c>
      <c r="Y70" s="54">
        <f t="shared" si="74"/>
        <v>121831.51572453915</v>
      </c>
      <c r="Z70" s="54">
        <f t="shared" si="74"/>
        <v>131868</v>
      </c>
      <c r="AA70" s="54">
        <f t="shared" si="74"/>
        <v>146987</v>
      </c>
      <c r="AB70" s="54">
        <f t="shared" si="74"/>
        <v>134254</v>
      </c>
      <c r="AC70" s="54">
        <f t="shared" si="74"/>
        <v>112502</v>
      </c>
      <c r="AD70" s="54">
        <f t="shared" ref="AD70:AG70" si="75">SUM(AD66:AD69)</f>
        <v>139541</v>
      </c>
      <c r="AE70" s="54">
        <f t="shared" si="75"/>
        <v>-624804</v>
      </c>
      <c r="AF70" s="54">
        <f t="shared" si="75"/>
        <v>180922</v>
      </c>
      <c r="AG70" s="54">
        <f t="shared" si="75"/>
        <v>77535</v>
      </c>
      <c r="AH70" s="54">
        <v>96580</v>
      </c>
      <c r="AI70" s="54">
        <v>115194</v>
      </c>
      <c r="AJ70" s="54">
        <v>125860.99999999997</v>
      </c>
      <c r="AK70" s="54">
        <v>127195</v>
      </c>
      <c r="AL70" s="54">
        <v>124351</v>
      </c>
      <c r="AM70" s="54">
        <v>138594</v>
      </c>
    </row>
    <row r="71" spans="2:39" s="3" customFormat="1" ht="15">
      <c r="B71" s="20" t="s">
        <v>86</v>
      </c>
      <c r="C71" s="1"/>
      <c r="D71" s="10">
        <f t="shared" ref="D71:I71" si="76">IFERROR(D70/D22,"")</f>
        <v>0.35225048204789355</v>
      </c>
      <c r="E71" s="10">
        <f t="shared" si="76"/>
        <v>0.3519414063406397</v>
      </c>
      <c r="F71" s="10">
        <f t="shared" si="76"/>
        <v>0.21633435999448361</v>
      </c>
      <c r="G71" s="10">
        <f t="shared" si="76"/>
        <v>0.2763274506913414</v>
      </c>
      <c r="H71" s="10">
        <f t="shared" si="76"/>
        <v>0.24273508733322294</v>
      </c>
      <c r="I71" s="10">
        <f t="shared" si="76"/>
        <v>0.24026119172725258</v>
      </c>
      <c r="J71" s="10">
        <v>-0.10188944209818414</v>
      </c>
      <c r="K71" s="10">
        <v>0.21368694217079601</v>
      </c>
      <c r="L71" s="10">
        <v>0.22122412167011193</v>
      </c>
      <c r="M71" s="11"/>
      <c r="N71" s="10">
        <f t="shared" ref="N71:AC71" si="77">IFERROR(N70/N22,"")</f>
        <v>0.21707461774778108</v>
      </c>
      <c r="O71" s="10">
        <f t="shared" si="77"/>
        <v>0.16427592841155542</v>
      </c>
      <c r="P71" s="10">
        <f t="shared" si="77"/>
        <v>0.337206564358767</v>
      </c>
      <c r="Q71" s="10">
        <f t="shared" si="77"/>
        <v>0.13834446584928198</v>
      </c>
      <c r="R71" s="10">
        <f t="shared" si="77"/>
        <v>0.27380490386311518</v>
      </c>
      <c r="S71" s="10">
        <f t="shared" si="77"/>
        <v>0.34553229464916518</v>
      </c>
      <c r="T71" s="10">
        <f t="shared" si="77"/>
        <v>0.28759328125389971</v>
      </c>
      <c r="U71" s="10">
        <f t="shared" si="77"/>
        <v>0.20434250106688964</v>
      </c>
      <c r="V71" s="10">
        <f t="shared" si="77"/>
        <v>0.23652275607115869</v>
      </c>
      <c r="W71" s="10">
        <f t="shared" si="77"/>
        <v>0.24700040657208164</v>
      </c>
      <c r="X71" s="10">
        <f t="shared" si="77"/>
        <v>0.24854394746393624</v>
      </c>
      <c r="Y71" s="10">
        <f t="shared" si="77"/>
        <v>0.23789929222712905</v>
      </c>
      <c r="Z71" s="10">
        <f t="shared" si="77"/>
        <v>0.25162815637170621</v>
      </c>
      <c r="AA71" s="10">
        <f t="shared" si="77"/>
        <v>0.26524528335934894</v>
      </c>
      <c r="AB71" s="10">
        <f t="shared" si="77"/>
        <v>0.23626825194860504</v>
      </c>
      <c r="AC71" s="10">
        <f t="shared" si="77"/>
        <v>0.20786587438842327</v>
      </c>
      <c r="AD71" s="10">
        <f t="shared" ref="AD71:AF71" si="78">IFERROR(AD70/AD22,"")</f>
        <v>0.23943246299324467</v>
      </c>
      <c r="AE71" s="10">
        <f t="shared" si="78"/>
        <v>-1.0674151736674053</v>
      </c>
      <c r="AF71" s="10">
        <f t="shared" si="78"/>
        <v>0.31695049761659083</v>
      </c>
      <c r="AG71" s="10">
        <v>0.1591970236408658</v>
      </c>
      <c r="AH71" s="10">
        <v>0.1934238301042622</v>
      </c>
      <c r="AI71" s="10">
        <v>0.21099999999999999</v>
      </c>
      <c r="AJ71" s="10">
        <v>0.2216420683376272</v>
      </c>
      <c r="AK71" s="10">
        <v>0.22620366599502403</v>
      </c>
      <c r="AL71" s="10">
        <v>0.21627840642273</v>
      </c>
      <c r="AM71" s="10">
        <v>0.22585812692602908</v>
      </c>
    </row>
    <row r="72" spans="2:39" ht="15">
      <c r="B72" s="22" t="s">
        <v>287</v>
      </c>
      <c r="D72" s="46">
        <v>0</v>
      </c>
      <c r="E72" s="46">
        <v>0</v>
      </c>
      <c r="F72" s="46">
        <v>0</v>
      </c>
      <c r="G72" s="46">
        <v>16788</v>
      </c>
      <c r="H72" s="46">
        <f>SUM(V72:X72)</f>
        <v>13978.000000000002</v>
      </c>
      <c r="I72" s="47">
        <v>0</v>
      </c>
      <c r="J72" s="47">
        <v>0</v>
      </c>
      <c r="K72" s="47">
        <v>0</v>
      </c>
      <c r="L72" s="47">
        <v>0</v>
      </c>
      <c r="M72" s="11"/>
      <c r="N72" s="46"/>
      <c r="O72" s="46"/>
      <c r="P72" s="46"/>
      <c r="Q72" s="46"/>
      <c r="R72" s="46">
        <v>0</v>
      </c>
      <c r="S72" s="46">
        <v>0</v>
      </c>
      <c r="T72" s="46">
        <v>0</v>
      </c>
      <c r="U72" s="47">
        <v>16788</v>
      </c>
      <c r="V72" s="47">
        <f>2226-22.5842600000002</f>
        <v>2203.4157399999999</v>
      </c>
      <c r="W72" s="47">
        <f>9769.75278-22.5842600000002</f>
        <v>9747.1685200000011</v>
      </c>
      <c r="X72" s="47">
        <f>2050-22.5842600000002</f>
        <v>2027.4157399999999</v>
      </c>
      <c r="Y72" s="47">
        <v>0</v>
      </c>
      <c r="Z72" s="47">
        <v>0</v>
      </c>
      <c r="AA72" s="47">
        <v>0</v>
      </c>
      <c r="AB72" s="47">
        <v>0</v>
      </c>
      <c r="AC72" s="47">
        <v>0</v>
      </c>
      <c r="AD72" s="47">
        <v>0</v>
      </c>
      <c r="AE72" s="47">
        <v>0</v>
      </c>
      <c r="AF72" s="47">
        <v>0</v>
      </c>
      <c r="AG72" s="47">
        <v>0</v>
      </c>
      <c r="AH72" s="47"/>
      <c r="AI72" s="47"/>
      <c r="AJ72" s="47">
        <v>0</v>
      </c>
      <c r="AK72" s="47">
        <v>0</v>
      </c>
      <c r="AL72" s="47">
        <v>0</v>
      </c>
      <c r="AM72" s="47">
        <v>0</v>
      </c>
    </row>
    <row r="73" spans="2:39" ht="15">
      <c r="B73" s="24" t="s">
        <v>288</v>
      </c>
      <c r="D73" s="46">
        <v>0</v>
      </c>
      <c r="E73" s="46">
        <v>0</v>
      </c>
      <c r="F73" s="46">
        <v>0</v>
      </c>
      <c r="G73" s="46">
        <f>SUM(R73:U73)</f>
        <v>3397</v>
      </c>
      <c r="H73" s="46">
        <f>SUM(V73:X73)</f>
        <v>7111.4989999999998</v>
      </c>
      <c r="I73" s="47">
        <v>0</v>
      </c>
      <c r="J73" s="47">
        <v>0</v>
      </c>
      <c r="K73" s="47">
        <v>0</v>
      </c>
      <c r="L73" s="47">
        <v>0</v>
      </c>
      <c r="M73" s="11"/>
      <c r="N73" s="46">
        <v>0</v>
      </c>
      <c r="O73" s="46">
        <v>0</v>
      </c>
      <c r="P73" s="46">
        <v>0</v>
      </c>
      <c r="Q73" s="46">
        <v>0</v>
      </c>
      <c r="R73" s="46">
        <v>0</v>
      </c>
      <c r="S73" s="46">
        <v>106</v>
      </c>
      <c r="T73" s="46">
        <v>695</v>
      </c>
      <c r="U73" s="47">
        <f>2596</f>
        <v>2596</v>
      </c>
      <c r="V73" s="47">
        <v>3755</v>
      </c>
      <c r="W73" s="47">
        <v>3356.4989999999998</v>
      </c>
      <c r="X73" s="47">
        <f>X53</f>
        <v>0</v>
      </c>
      <c r="Y73" s="47">
        <v>0</v>
      </c>
      <c r="Z73" s="47">
        <v>0</v>
      </c>
      <c r="AA73" s="47">
        <v>0</v>
      </c>
      <c r="AB73" s="47">
        <v>0</v>
      </c>
      <c r="AC73" s="47">
        <v>0</v>
      </c>
      <c r="AD73" s="47">
        <v>0</v>
      </c>
      <c r="AE73" s="47">
        <v>0</v>
      </c>
      <c r="AF73" s="47">
        <v>0</v>
      </c>
      <c r="AG73" s="47">
        <v>0</v>
      </c>
      <c r="AH73" s="47"/>
      <c r="AI73" s="47"/>
      <c r="AJ73" s="47">
        <v>0</v>
      </c>
      <c r="AK73" s="47">
        <v>0</v>
      </c>
      <c r="AL73" s="47">
        <v>0</v>
      </c>
      <c r="AM73" s="47">
        <v>0</v>
      </c>
    </row>
    <row r="74" spans="2:39" ht="15">
      <c r="B74" s="24" t="s">
        <v>363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5265.4650000000001</v>
      </c>
      <c r="K74" s="47">
        <v>0</v>
      </c>
      <c r="L74" s="47">
        <v>0</v>
      </c>
      <c r="M74" s="11"/>
      <c r="N74" s="46"/>
      <c r="O74" s="46"/>
      <c r="P74" s="46"/>
      <c r="Q74" s="46"/>
      <c r="R74" s="46"/>
      <c r="S74" s="46"/>
      <c r="T74" s="46"/>
      <c r="U74" s="47"/>
      <c r="V74" s="47">
        <v>0</v>
      </c>
      <c r="W74" s="47">
        <v>0</v>
      </c>
      <c r="X74" s="47">
        <v>0</v>
      </c>
      <c r="Y74" s="47">
        <v>0</v>
      </c>
      <c r="Z74" s="47">
        <v>0</v>
      </c>
      <c r="AA74" s="47">
        <v>0</v>
      </c>
      <c r="AB74" s="47">
        <v>0</v>
      </c>
      <c r="AC74" s="47">
        <v>0</v>
      </c>
      <c r="AD74" s="47">
        <v>0</v>
      </c>
      <c r="AE74" s="47">
        <v>986.46500000000003</v>
      </c>
      <c r="AF74" s="47">
        <v>4279</v>
      </c>
      <c r="AG74" s="47"/>
      <c r="AH74" s="47"/>
      <c r="AI74" s="47"/>
      <c r="AJ74" s="47">
        <v>0</v>
      </c>
      <c r="AK74" s="47">
        <v>0</v>
      </c>
      <c r="AL74" s="47">
        <v>0</v>
      </c>
      <c r="AM74" s="47">
        <v>0</v>
      </c>
    </row>
    <row r="75" spans="2:39" ht="15">
      <c r="B75" s="24" t="s">
        <v>361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754264</v>
      </c>
      <c r="K75" s="47">
        <v>0</v>
      </c>
      <c r="L75" s="47">
        <v>0</v>
      </c>
      <c r="M75" s="11"/>
      <c r="N75" s="46"/>
      <c r="O75" s="46"/>
      <c r="P75" s="46"/>
      <c r="Q75" s="46"/>
      <c r="R75" s="46"/>
      <c r="S75" s="46"/>
      <c r="T75" s="46"/>
      <c r="U75" s="47"/>
      <c r="V75" s="47">
        <v>0</v>
      </c>
      <c r="W75" s="47">
        <v>0</v>
      </c>
      <c r="X75" s="47">
        <v>0</v>
      </c>
      <c r="Y75" s="47">
        <v>0</v>
      </c>
      <c r="Z75" s="47">
        <v>0</v>
      </c>
      <c r="AA75" s="47">
        <v>0</v>
      </c>
      <c r="AB75" s="47">
        <v>0</v>
      </c>
      <c r="AC75" s="47">
        <v>0</v>
      </c>
      <c r="AD75" s="47">
        <v>0</v>
      </c>
      <c r="AE75" s="47">
        <v>744142</v>
      </c>
      <c r="AF75" s="47">
        <v>10122</v>
      </c>
      <c r="AG75" s="47"/>
      <c r="AH75" s="47"/>
      <c r="AI75" s="47"/>
      <c r="AJ75" s="47">
        <v>0</v>
      </c>
      <c r="AK75" s="47">
        <v>0</v>
      </c>
      <c r="AL75" s="47">
        <v>0</v>
      </c>
      <c r="AM75" s="47">
        <v>0</v>
      </c>
    </row>
    <row r="76" spans="2:39" ht="15">
      <c r="B76" s="24" t="s">
        <v>383</v>
      </c>
      <c r="D76" s="47"/>
      <c r="E76" s="47"/>
      <c r="F76" s="47"/>
      <c r="G76" s="47"/>
      <c r="H76" s="47">
        <v>0</v>
      </c>
      <c r="I76" s="47">
        <v>0</v>
      </c>
      <c r="J76" s="47">
        <v>-73975</v>
      </c>
      <c r="K76" s="47">
        <v>0</v>
      </c>
      <c r="L76" s="47">
        <v>0</v>
      </c>
      <c r="M76" s="11"/>
      <c r="N76" s="46"/>
      <c r="O76" s="46"/>
      <c r="P76" s="46"/>
      <c r="Q76" s="46"/>
      <c r="R76" s="46"/>
      <c r="S76" s="46"/>
      <c r="T76" s="46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>
        <v>-73975</v>
      </c>
      <c r="AG76" s="47"/>
      <c r="AH76" s="47"/>
      <c r="AI76" s="47"/>
      <c r="AJ76" s="47">
        <v>0</v>
      </c>
      <c r="AK76" s="47">
        <v>0</v>
      </c>
      <c r="AL76" s="47">
        <v>0</v>
      </c>
      <c r="AM76" s="47">
        <v>0</v>
      </c>
    </row>
    <row r="77" spans="2:39" ht="15">
      <c r="B77" s="24" t="s">
        <v>407</v>
      </c>
      <c r="D77" s="47"/>
      <c r="E77" s="47"/>
      <c r="F77" s="47"/>
      <c r="G77" s="47"/>
      <c r="H77" s="47"/>
      <c r="I77" s="47"/>
      <c r="J77" s="47"/>
      <c r="K77" s="47"/>
      <c r="L77" s="47">
        <v>5610.4858700000004</v>
      </c>
      <c r="M77" s="11"/>
      <c r="N77" s="46"/>
      <c r="O77" s="46"/>
      <c r="P77" s="46"/>
      <c r="Q77" s="46"/>
      <c r="R77" s="46"/>
      <c r="S77" s="46"/>
      <c r="T77" s="46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>
        <v>5610.4858700000004</v>
      </c>
      <c r="AM77" s="47">
        <v>0</v>
      </c>
    </row>
    <row r="78" spans="2:39" ht="15">
      <c r="B78" s="23" t="s">
        <v>224</v>
      </c>
      <c r="D78" s="54">
        <f>SUM(D70,D72:D73)</f>
        <v>220704.65302999999</v>
      </c>
      <c r="E78" s="54">
        <f>SUM(E70,E72:E73)</f>
        <v>257845.99999999994</v>
      </c>
      <c r="F78" s="54">
        <f>SUM(F70,F72:F73)</f>
        <v>155298</v>
      </c>
      <c r="G78" s="54">
        <f>SUM(G70,G72:G73)</f>
        <v>303230.8</v>
      </c>
      <c r="H78" s="54">
        <f>SUM(H70,H72:H73)</f>
        <v>449063.49900000001</v>
      </c>
      <c r="I78" s="54">
        <f>SUM(I70,I72:I76)</f>
        <v>525611</v>
      </c>
      <c r="J78" s="54">
        <v>458748.46499999997</v>
      </c>
      <c r="K78" s="54">
        <v>464830</v>
      </c>
      <c r="L78" s="54">
        <v>262945</v>
      </c>
      <c r="M78" s="11"/>
      <c r="N78" s="54">
        <f>SUM(N70,N80,N73)</f>
        <v>36955</v>
      </c>
      <c r="O78" s="54">
        <f>SUM(O70,O80,O73)</f>
        <v>23651.75</v>
      </c>
      <c r="P78" s="54">
        <f>SUM(P70,P80,P73)</f>
        <v>65876</v>
      </c>
      <c r="Q78" s="54">
        <f>SUM(Q70,Q80,Q73)</f>
        <v>28815.250000000007</v>
      </c>
      <c r="R78" s="54">
        <f t="shared" ref="R78:Y78" si="79">SUM(R70,R72:R73)</f>
        <v>62088</v>
      </c>
      <c r="S78" s="54">
        <f t="shared" si="79"/>
        <v>93030</v>
      </c>
      <c r="T78" s="54">
        <f t="shared" si="79"/>
        <v>69833</v>
      </c>
      <c r="U78" s="54">
        <f t="shared" si="79"/>
        <v>78279.8</v>
      </c>
      <c r="V78" s="54">
        <f t="shared" si="79"/>
        <v>87021.15036</v>
      </c>
      <c r="W78" s="54">
        <f t="shared" si="79"/>
        <v>120402.41717546077</v>
      </c>
      <c r="X78" s="54">
        <f t="shared" si="79"/>
        <v>119808.41573999994</v>
      </c>
      <c r="Y78" s="54">
        <f t="shared" si="79"/>
        <v>121831.51572453915</v>
      </c>
      <c r="Z78" s="54">
        <f t="shared" ref="Z78:AG78" si="80">SUM(Z70,Z72:Z76)</f>
        <v>131868</v>
      </c>
      <c r="AA78" s="54">
        <f t="shared" si="80"/>
        <v>146987</v>
      </c>
      <c r="AB78" s="54">
        <f t="shared" si="80"/>
        <v>134254</v>
      </c>
      <c r="AC78" s="54">
        <f t="shared" si="80"/>
        <v>112502</v>
      </c>
      <c r="AD78" s="54">
        <f t="shared" si="80"/>
        <v>139541</v>
      </c>
      <c r="AE78" s="54">
        <f t="shared" si="80"/>
        <v>120324.46499999997</v>
      </c>
      <c r="AF78" s="54">
        <f t="shared" si="80"/>
        <v>121348</v>
      </c>
      <c r="AG78" s="54">
        <f t="shared" si="80"/>
        <v>77535</v>
      </c>
      <c r="AH78" s="54">
        <v>96580</v>
      </c>
      <c r="AI78" s="54">
        <v>115194</v>
      </c>
      <c r="AJ78" s="54">
        <v>125860.99999999997</v>
      </c>
      <c r="AK78" s="54">
        <v>127195</v>
      </c>
      <c r="AL78" s="54">
        <v>129961.48587</v>
      </c>
      <c r="AM78" s="54">
        <v>138594</v>
      </c>
    </row>
    <row r="79" spans="2:39" s="3" customFormat="1" ht="15">
      <c r="B79" s="20" t="s">
        <v>225</v>
      </c>
      <c r="C79" s="1"/>
      <c r="D79" s="10">
        <f t="shared" ref="D79:I79" si="81">IFERROR(D78/D22,"")</f>
        <v>0.35225048204789355</v>
      </c>
      <c r="E79" s="10">
        <f t="shared" si="81"/>
        <v>0.3519414063406397</v>
      </c>
      <c r="F79" s="10">
        <f t="shared" si="81"/>
        <v>0.21633435999448361</v>
      </c>
      <c r="G79" s="10">
        <f t="shared" si="81"/>
        <v>0.29603334137124099</v>
      </c>
      <c r="H79" s="10">
        <f t="shared" si="81"/>
        <v>0.25469647139295298</v>
      </c>
      <c r="I79" s="10">
        <f t="shared" si="81"/>
        <v>0.24026119172725258</v>
      </c>
      <c r="J79" s="10">
        <v>0.20608636968267308</v>
      </c>
      <c r="K79" s="10">
        <v>0.21368694217079601</v>
      </c>
      <c r="L79" s="10">
        <v>0.22122412167011193</v>
      </c>
      <c r="M79" s="11"/>
      <c r="N79" s="10">
        <f t="shared" ref="N79:AF79" si="82">IFERROR(N78/N22,"")</f>
        <v>0.21707461774778108</v>
      </c>
      <c r="O79" s="10">
        <f t="shared" si="82"/>
        <v>0.16427592841155542</v>
      </c>
      <c r="P79" s="10">
        <f t="shared" si="82"/>
        <v>0.337206564358767</v>
      </c>
      <c r="Q79" s="10">
        <f t="shared" si="82"/>
        <v>0.13834446584928198</v>
      </c>
      <c r="R79" s="10">
        <f t="shared" si="82"/>
        <v>0.27380490386311518</v>
      </c>
      <c r="S79" s="10">
        <f t="shared" si="82"/>
        <v>0.3459264492618897</v>
      </c>
      <c r="T79" s="10">
        <f t="shared" si="82"/>
        <v>0.29048427217743611</v>
      </c>
      <c r="U79" s="10">
        <f t="shared" si="82"/>
        <v>0.2715964485585714</v>
      </c>
      <c r="V79" s="10">
        <f t="shared" si="82"/>
        <v>0.2539080678207436</v>
      </c>
      <c r="W79" s="10">
        <f t="shared" si="82"/>
        <v>0.27716488859464228</v>
      </c>
      <c r="X79" s="10">
        <f t="shared" si="82"/>
        <v>0.2528222428695629</v>
      </c>
      <c r="Y79" s="10">
        <f t="shared" si="82"/>
        <v>0.23789929222712905</v>
      </c>
      <c r="Z79" s="10">
        <f t="shared" si="82"/>
        <v>0.25162815637170621</v>
      </c>
      <c r="AA79" s="10">
        <f t="shared" si="82"/>
        <v>0.26524528335934894</v>
      </c>
      <c r="AB79" s="10">
        <f t="shared" si="82"/>
        <v>0.23626825194860504</v>
      </c>
      <c r="AC79" s="10">
        <f t="shared" si="82"/>
        <v>0.20786587438842327</v>
      </c>
      <c r="AD79" s="10">
        <f t="shared" si="82"/>
        <v>0.23943246299324467</v>
      </c>
      <c r="AE79" s="10">
        <f t="shared" si="82"/>
        <v>0.20556231987057155</v>
      </c>
      <c r="AF79" s="10">
        <f t="shared" si="82"/>
        <v>0.21258503103424717</v>
      </c>
      <c r="AG79" s="10">
        <v>0.1591970236408658</v>
      </c>
      <c r="AH79" s="10">
        <v>0.1934238301042622</v>
      </c>
      <c r="AI79" s="10">
        <v>0.21099999999999999</v>
      </c>
      <c r="AJ79" s="10">
        <v>0.2216420683376272</v>
      </c>
      <c r="AK79" s="10">
        <v>0.22620366599502403</v>
      </c>
      <c r="AL79" s="10">
        <v>0.22603648591723222</v>
      </c>
      <c r="AM79" s="10">
        <v>0.22585812692602908</v>
      </c>
    </row>
    <row r="80" spans="2:39" ht="15">
      <c r="B80" s="22" t="s">
        <v>223</v>
      </c>
      <c r="D80" s="46">
        <v>0</v>
      </c>
      <c r="E80" s="46">
        <v>0</v>
      </c>
      <c r="F80" s="46">
        <v>0</v>
      </c>
      <c r="G80" s="46">
        <v>8562</v>
      </c>
      <c r="H80" s="46">
        <f>SUM(V80:Y80)</f>
        <v>11704</v>
      </c>
      <c r="I80" s="46">
        <v>11704</v>
      </c>
      <c r="J80" s="46">
        <v>8323</v>
      </c>
      <c r="K80" s="46"/>
      <c r="L80" s="46"/>
      <c r="M80" s="11"/>
      <c r="N80" s="46">
        <v>0</v>
      </c>
      <c r="O80" s="46">
        <v>0</v>
      </c>
      <c r="P80" s="46">
        <v>0</v>
      </c>
      <c r="Q80" s="46">
        <v>0</v>
      </c>
      <c r="R80" s="46">
        <v>0</v>
      </c>
      <c r="S80" s="46">
        <v>2796</v>
      </c>
      <c r="T80" s="46">
        <f>5612-S80</f>
        <v>2816</v>
      </c>
      <c r="U80" s="47">
        <v>2950</v>
      </c>
      <c r="V80" s="47">
        <v>2886</v>
      </c>
      <c r="W80" s="47">
        <v>2918.01</v>
      </c>
      <c r="X80" s="47">
        <v>2950</v>
      </c>
      <c r="Y80" s="47">
        <v>2949.99</v>
      </c>
      <c r="Z80" s="47">
        <v>2886</v>
      </c>
      <c r="AA80" s="47">
        <f>5804-Z80</f>
        <v>2918</v>
      </c>
      <c r="AB80" s="47">
        <f>8754-AA80-Z80</f>
        <v>2950</v>
      </c>
      <c r="AC80" s="47">
        <f>I80-SUM(Z80:AB80)</f>
        <v>2950</v>
      </c>
      <c r="AD80" s="47">
        <v>2918</v>
      </c>
      <c r="AE80" s="47">
        <v>1865</v>
      </c>
      <c r="AF80" s="47">
        <v>1769</v>
      </c>
      <c r="AG80" s="47">
        <v>1771</v>
      </c>
      <c r="AH80" s="47"/>
      <c r="AI80" s="47"/>
      <c r="AJ80" s="47"/>
      <c r="AK80" s="47"/>
      <c r="AL80" s="47"/>
      <c r="AM80" s="47">
        <v>0</v>
      </c>
    </row>
    <row r="81" spans="2:39" ht="15">
      <c r="B81" s="23" t="s">
        <v>311</v>
      </c>
      <c r="D81" s="54">
        <f>D78</f>
        <v>220704.65302999999</v>
      </c>
      <c r="E81" s="54">
        <f>E78</f>
        <v>257845.99999999994</v>
      </c>
      <c r="F81" s="54">
        <f>F78</f>
        <v>155298</v>
      </c>
      <c r="G81" s="54">
        <f>G78+G80</f>
        <v>311792.8</v>
      </c>
      <c r="H81" s="54">
        <f>H78+H80</f>
        <v>460767.49900000001</v>
      </c>
      <c r="I81" s="54">
        <f>I78+I80</f>
        <v>537315</v>
      </c>
      <c r="J81" s="54">
        <v>467071.46499999997</v>
      </c>
      <c r="K81" s="54">
        <v>464830</v>
      </c>
      <c r="L81" s="54">
        <v>262945</v>
      </c>
      <c r="M81" s="11"/>
      <c r="P81"/>
      <c r="Q81"/>
      <c r="R81"/>
      <c r="S81"/>
      <c r="T81"/>
      <c r="U81"/>
      <c r="X81"/>
      <c r="Y81"/>
      <c r="Z81" s="93"/>
      <c r="AA81"/>
      <c r="AB81"/>
      <c r="AC81"/>
      <c r="AD81"/>
      <c r="AE81"/>
      <c r="AF81"/>
      <c r="AG81"/>
      <c r="AH81"/>
      <c r="AI81"/>
      <c r="AJ81"/>
      <c r="AK81"/>
      <c r="AL81"/>
    </row>
    <row r="82" spans="2:39" s="3" customFormat="1" ht="15">
      <c r="B82" s="20" t="s">
        <v>225</v>
      </c>
      <c r="C82" s="1"/>
      <c r="D82" s="10">
        <f t="shared" ref="D82:J82" si="83">IFERROR(D81/D22,"")</f>
        <v>0.35225048204789355</v>
      </c>
      <c r="E82" s="10">
        <f t="shared" si="83"/>
        <v>0.3519414063406397</v>
      </c>
      <c r="F82" s="10">
        <f t="shared" si="83"/>
        <v>0.21633435999448361</v>
      </c>
      <c r="G82" s="10">
        <f t="shared" si="83"/>
        <v>0.30439211451968295</v>
      </c>
      <c r="H82" s="10">
        <f t="shared" si="83"/>
        <v>0.26133465843737169</v>
      </c>
      <c r="I82" s="10">
        <f t="shared" si="83"/>
        <v>0.24561118818466265</v>
      </c>
      <c r="J82" s="10">
        <f t="shared" si="83"/>
        <v>0.20982536171367397</v>
      </c>
      <c r="K82" s="10">
        <v>0.21368694217079601</v>
      </c>
      <c r="L82" s="10">
        <v>0.22122412167011193</v>
      </c>
      <c r="M82" s="11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</row>
    <row r="83" spans="2:39" ht="17.100000000000001" customHeight="1">
      <c r="M83" s="11"/>
      <c r="AM83" s="1"/>
    </row>
    <row r="84" spans="2:39" ht="15.75" thickBot="1">
      <c r="B84" s="62" t="s">
        <v>264</v>
      </c>
      <c r="D84" s="64">
        <v>43465</v>
      </c>
      <c r="E84" s="64">
        <v>43830</v>
      </c>
      <c r="F84" s="64">
        <v>44196</v>
      </c>
      <c r="G84" s="64">
        <v>44561</v>
      </c>
      <c r="H84" s="64">
        <v>44926</v>
      </c>
      <c r="I84" s="64">
        <v>45291</v>
      </c>
      <c r="J84" s="64">
        <v>45657</v>
      </c>
      <c r="K84" s="64">
        <v>46022</v>
      </c>
      <c r="L84" s="64" t="s">
        <v>414</v>
      </c>
      <c r="M84" s="11"/>
      <c r="N84" s="64">
        <v>43921</v>
      </c>
      <c r="O84" s="64">
        <v>44012</v>
      </c>
      <c r="P84" s="64">
        <v>44104</v>
      </c>
      <c r="Q84" s="64">
        <v>44196</v>
      </c>
      <c r="R84" s="64">
        <v>44286</v>
      </c>
      <c r="S84" s="64">
        <v>44377</v>
      </c>
      <c r="T84" s="64">
        <v>44469</v>
      </c>
      <c r="U84" s="64">
        <v>44561</v>
      </c>
      <c r="V84" s="64">
        <v>44651</v>
      </c>
      <c r="W84" s="64">
        <v>44742</v>
      </c>
      <c r="X84" s="64">
        <v>44834</v>
      </c>
      <c r="Y84" s="64">
        <v>44926</v>
      </c>
      <c r="Z84" s="64">
        <v>45016</v>
      </c>
      <c r="AA84" s="64">
        <v>45107</v>
      </c>
      <c r="AB84" s="64">
        <v>45199</v>
      </c>
      <c r="AC84" s="64">
        <v>45291</v>
      </c>
      <c r="AD84" s="64">
        <v>45382</v>
      </c>
      <c r="AE84" s="64">
        <v>45473</v>
      </c>
      <c r="AF84" s="64">
        <v>45565</v>
      </c>
      <c r="AG84" s="64">
        <v>45657</v>
      </c>
      <c r="AH84" s="64">
        <v>45747</v>
      </c>
      <c r="AI84" s="64">
        <v>45838</v>
      </c>
      <c r="AJ84" s="64">
        <v>45930</v>
      </c>
      <c r="AK84" s="64">
        <v>46022</v>
      </c>
      <c r="AL84" s="64">
        <v>46112</v>
      </c>
      <c r="AM84" s="64">
        <v>46203</v>
      </c>
    </row>
    <row r="85" spans="2:39" ht="15.75" thickTop="1">
      <c r="B85" s="25" t="s">
        <v>4</v>
      </c>
      <c r="D85" s="26"/>
      <c r="E85" s="26"/>
      <c r="F85" s="26"/>
      <c r="G85" s="26"/>
      <c r="H85" s="26"/>
      <c r="I85" s="26"/>
      <c r="J85" s="26"/>
      <c r="K85" s="26"/>
      <c r="L85" s="26"/>
      <c r="M85" s="11"/>
      <c r="N85" s="26"/>
      <c r="O85" s="26"/>
      <c r="P85" s="26"/>
      <c r="Q85" s="26"/>
      <c r="R85" s="27"/>
      <c r="S85" s="27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</row>
    <row r="86" spans="2:39" ht="15">
      <c r="B86" s="28" t="s">
        <v>16</v>
      </c>
      <c r="D86" s="9"/>
      <c r="E86" s="9"/>
      <c r="F86" s="9"/>
      <c r="G86" s="9"/>
      <c r="H86" s="9"/>
      <c r="I86" s="9"/>
      <c r="J86" s="9"/>
      <c r="K86" s="9"/>
      <c r="L86" s="9"/>
      <c r="M86" s="1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</row>
    <row r="87" spans="2:39" ht="15">
      <c r="B87" s="31" t="s">
        <v>33</v>
      </c>
      <c r="D87" s="47">
        <v>173020</v>
      </c>
      <c r="E87" s="47">
        <v>123671</v>
      </c>
      <c r="F87" s="47">
        <v>121207</v>
      </c>
      <c r="G87" s="47">
        <v>1000200</v>
      </c>
      <c r="H87" s="47">
        <v>246414</v>
      </c>
      <c r="I87" s="47">
        <v>227302</v>
      </c>
      <c r="J87" s="47">
        <v>622581</v>
      </c>
      <c r="K87" s="47">
        <v>599130</v>
      </c>
      <c r="L87" s="47">
        <v>599902</v>
      </c>
      <c r="M87" s="11"/>
      <c r="N87" s="47">
        <v>151052</v>
      </c>
      <c r="O87" s="47">
        <v>141115</v>
      </c>
      <c r="P87" s="47">
        <v>109734</v>
      </c>
      <c r="Q87" s="47">
        <f t="shared" ref="Q87:Q95" si="84">F87</f>
        <v>121207</v>
      </c>
      <c r="R87" s="47">
        <v>76680</v>
      </c>
      <c r="S87" s="47">
        <v>871556</v>
      </c>
      <c r="T87" s="47">
        <v>865895</v>
      </c>
      <c r="U87" s="47">
        <f t="shared" ref="U87:U92" si="85">G87</f>
        <v>1000200</v>
      </c>
      <c r="V87" s="47">
        <v>665115</v>
      </c>
      <c r="W87" s="47">
        <v>393168.01734999998</v>
      </c>
      <c r="X87" s="47">
        <v>345909</v>
      </c>
      <c r="Y87" s="47">
        <f t="shared" ref="Y87:Y94" si="86">H87</f>
        <v>246414</v>
      </c>
      <c r="Z87" s="47">
        <v>206968</v>
      </c>
      <c r="AA87" s="47">
        <v>223953</v>
      </c>
      <c r="AB87" s="47">
        <v>265675</v>
      </c>
      <c r="AC87" s="47">
        <f t="shared" ref="AC87:AC95" si="87">I87</f>
        <v>227302</v>
      </c>
      <c r="AD87" s="47">
        <v>162407</v>
      </c>
      <c r="AE87" s="47">
        <v>269395</v>
      </c>
      <c r="AF87" s="47">
        <v>704454</v>
      </c>
      <c r="AG87" s="47">
        <v>622581</v>
      </c>
      <c r="AH87" s="47">
        <v>616113</v>
      </c>
      <c r="AI87" s="47">
        <v>613537</v>
      </c>
      <c r="AJ87" s="47">
        <v>654027</v>
      </c>
      <c r="AK87" s="47">
        <v>599130</v>
      </c>
      <c r="AL87" s="47">
        <v>556803</v>
      </c>
      <c r="AM87" s="47">
        <v>599902</v>
      </c>
    </row>
    <row r="88" spans="2:39" ht="15">
      <c r="B88" s="32" t="s">
        <v>34</v>
      </c>
      <c r="D88" s="47">
        <v>113264</v>
      </c>
      <c r="E88" s="47">
        <v>137529</v>
      </c>
      <c r="F88" s="47">
        <v>149603</v>
      </c>
      <c r="G88" s="47">
        <v>278367</v>
      </c>
      <c r="H88" s="47">
        <v>131884</v>
      </c>
      <c r="I88" s="47">
        <v>91831</v>
      </c>
      <c r="J88" s="47">
        <v>52735</v>
      </c>
      <c r="K88" s="47">
        <v>26328</v>
      </c>
      <c r="L88" s="47">
        <v>27928</v>
      </c>
      <c r="M88" s="11"/>
      <c r="N88" s="47">
        <v>146785</v>
      </c>
      <c r="O88" s="47">
        <v>170097</v>
      </c>
      <c r="P88" s="47">
        <v>172141</v>
      </c>
      <c r="Q88" s="47">
        <f t="shared" si="84"/>
        <v>149603</v>
      </c>
      <c r="R88" s="47">
        <v>151288</v>
      </c>
      <c r="S88" s="47">
        <v>512942</v>
      </c>
      <c r="T88" s="47">
        <v>487562</v>
      </c>
      <c r="U88" s="47">
        <f t="shared" si="85"/>
        <v>278367</v>
      </c>
      <c r="V88" s="47">
        <v>193682</v>
      </c>
      <c r="W88" s="47">
        <v>208661.261</v>
      </c>
      <c r="X88" s="47">
        <v>135626</v>
      </c>
      <c r="Y88" s="47">
        <f t="shared" si="86"/>
        <v>131884</v>
      </c>
      <c r="Z88" s="47">
        <v>120785</v>
      </c>
      <c r="AA88" s="47">
        <v>92911</v>
      </c>
      <c r="AB88" s="47">
        <v>98061</v>
      </c>
      <c r="AC88" s="47">
        <f t="shared" si="87"/>
        <v>91831</v>
      </c>
      <c r="AD88" s="47">
        <v>79168</v>
      </c>
      <c r="AE88" s="47">
        <v>55186</v>
      </c>
      <c r="AF88" s="47">
        <v>51460</v>
      </c>
      <c r="AG88" s="47">
        <v>52735</v>
      </c>
      <c r="AH88" s="47">
        <v>54300</v>
      </c>
      <c r="AI88" s="47">
        <v>24676</v>
      </c>
      <c r="AJ88" s="47">
        <v>25516</v>
      </c>
      <c r="AK88" s="47">
        <v>26328</v>
      </c>
      <c r="AL88" s="47">
        <v>27168</v>
      </c>
      <c r="AM88" s="47">
        <v>27928</v>
      </c>
    </row>
    <row r="89" spans="2:39" ht="15">
      <c r="B89" s="16" t="s">
        <v>5</v>
      </c>
      <c r="D89" s="47">
        <v>155303</v>
      </c>
      <c r="E89" s="47">
        <v>233024</v>
      </c>
      <c r="F89" s="47">
        <v>256252</v>
      </c>
      <c r="G89" s="47">
        <v>391222</v>
      </c>
      <c r="H89" s="47">
        <v>609347</v>
      </c>
      <c r="I89" s="47">
        <v>798581</v>
      </c>
      <c r="J89" s="47">
        <v>662537</v>
      </c>
      <c r="K89" s="47">
        <v>717064</v>
      </c>
      <c r="L89" s="47">
        <v>770137</v>
      </c>
      <c r="M89" s="11"/>
      <c r="N89" s="47">
        <v>206507.25</v>
      </c>
      <c r="O89" s="47">
        <v>207594</v>
      </c>
      <c r="P89" s="47">
        <v>221095</v>
      </c>
      <c r="Q89" s="47">
        <f t="shared" si="84"/>
        <v>256252</v>
      </c>
      <c r="R89" s="47">
        <v>267797</v>
      </c>
      <c r="S89" s="47">
        <v>309511</v>
      </c>
      <c r="T89" s="47">
        <v>289735</v>
      </c>
      <c r="U89" s="47">
        <f t="shared" si="85"/>
        <v>391222</v>
      </c>
      <c r="V89" s="47">
        <v>451062</v>
      </c>
      <c r="W89" s="47">
        <v>482111.13270000002</v>
      </c>
      <c r="X89" s="47">
        <v>562109</v>
      </c>
      <c r="Y89" s="47">
        <f t="shared" si="86"/>
        <v>609347</v>
      </c>
      <c r="Z89" s="47">
        <v>655495</v>
      </c>
      <c r="AA89" s="47">
        <v>735657</v>
      </c>
      <c r="AB89" s="47">
        <v>790725</v>
      </c>
      <c r="AC89" s="47">
        <f t="shared" si="87"/>
        <v>798581</v>
      </c>
      <c r="AD89" s="47">
        <v>871839</v>
      </c>
      <c r="AE89" s="47">
        <v>645825</v>
      </c>
      <c r="AF89" s="47">
        <v>653957</v>
      </c>
      <c r="AG89" s="47">
        <v>662537</v>
      </c>
      <c r="AH89" s="47">
        <v>688276</v>
      </c>
      <c r="AI89" s="47">
        <v>724418</v>
      </c>
      <c r="AJ89" s="47">
        <v>742217</v>
      </c>
      <c r="AK89" s="47">
        <v>717064</v>
      </c>
      <c r="AL89" s="47">
        <v>768819</v>
      </c>
      <c r="AM89" s="47">
        <v>770137</v>
      </c>
    </row>
    <row r="90" spans="2:39" ht="15">
      <c r="B90" s="16" t="s">
        <v>6</v>
      </c>
      <c r="D90" s="47">
        <v>13157</v>
      </c>
      <c r="E90" s="47">
        <v>15642</v>
      </c>
      <c r="F90" s="47">
        <v>20109</v>
      </c>
      <c r="G90" s="47">
        <v>35339</v>
      </c>
      <c r="H90" s="47">
        <v>64286</v>
      </c>
      <c r="I90" s="47">
        <v>63165</v>
      </c>
      <c r="J90" s="47">
        <v>49757</v>
      </c>
      <c r="K90" s="47">
        <v>71785</v>
      </c>
      <c r="L90" s="47">
        <v>75387</v>
      </c>
      <c r="M90" s="11"/>
      <c r="N90" s="47">
        <v>20718</v>
      </c>
      <c r="O90" s="47">
        <v>23444</v>
      </c>
      <c r="P90" s="47">
        <v>22836</v>
      </c>
      <c r="Q90" s="47">
        <f t="shared" si="84"/>
        <v>20109</v>
      </c>
      <c r="R90" s="47">
        <v>27857</v>
      </c>
      <c r="S90" s="47">
        <v>34282</v>
      </c>
      <c r="T90" s="47">
        <v>27168</v>
      </c>
      <c r="U90" s="47">
        <f t="shared" si="85"/>
        <v>35339</v>
      </c>
      <c r="V90" s="47">
        <v>43334</v>
      </c>
      <c r="W90" s="47">
        <v>50452.537000000004</v>
      </c>
      <c r="X90" s="47">
        <v>56993</v>
      </c>
      <c r="Y90" s="47">
        <f t="shared" si="86"/>
        <v>64286</v>
      </c>
      <c r="Z90" s="47">
        <v>57946</v>
      </c>
      <c r="AA90" s="47">
        <v>65156</v>
      </c>
      <c r="AB90" s="47">
        <v>60297</v>
      </c>
      <c r="AC90" s="47">
        <f t="shared" si="87"/>
        <v>63165</v>
      </c>
      <c r="AD90" s="47">
        <v>77380</v>
      </c>
      <c r="AE90" s="47">
        <v>52801</v>
      </c>
      <c r="AF90" s="47">
        <v>48183</v>
      </c>
      <c r="AG90" s="47">
        <v>49757</v>
      </c>
      <c r="AH90" s="47">
        <v>62268</v>
      </c>
      <c r="AI90" s="47">
        <v>53674</v>
      </c>
      <c r="AJ90" s="47">
        <v>64261</v>
      </c>
      <c r="AK90" s="47">
        <v>71785</v>
      </c>
      <c r="AL90" s="47">
        <v>78882</v>
      </c>
      <c r="AM90" s="47">
        <v>75387</v>
      </c>
    </row>
    <row r="91" spans="2:39" ht="15">
      <c r="B91" s="32" t="s">
        <v>35</v>
      </c>
      <c r="D91" s="47">
        <v>0</v>
      </c>
      <c r="E91" s="47">
        <v>0</v>
      </c>
      <c r="F91" s="47">
        <v>4585</v>
      </c>
      <c r="G91" s="47">
        <v>979</v>
      </c>
      <c r="H91" s="47">
        <v>0</v>
      </c>
      <c r="I91" s="47">
        <v>1054</v>
      </c>
      <c r="J91" s="47">
        <v>0</v>
      </c>
      <c r="K91" s="47">
        <v>0</v>
      </c>
      <c r="L91" s="47">
        <v>0</v>
      </c>
      <c r="M91" s="11"/>
      <c r="N91" s="47">
        <v>6540</v>
      </c>
      <c r="O91" s="47">
        <v>7222</v>
      </c>
      <c r="P91" s="47">
        <v>5950</v>
      </c>
      <c r="Q91" s="47">
        <f t="shared" si="84"/>
        <v>4585</v>
      </c>
      <c r="R91" s="47">
        <v>3923</v>
      </c>
      <c r="S91" s="47">
        <v>1225</v>
      </c>
      <c r="T91" s="47">
        <v>1208</v>
      </c>
      <c r="U91" s="47">
        <f t="shared" si="85"/>
        <v>979</v>
      </c>
      <c r="V91" s="47">
        <v>258</v>
      </c>
      <c r="W91" s="47">
        <v>360</v>
      </c>
      <c r="X91" s="47">
        <v>0</v>
      </c>
      <c r="Y91" s="47">
        <f t="shared" si="86"/>
        <v>0</v>
      </c>
      <c r="Z91" s="47">
        <v>4774</v>
      </c>
      <c r="AA91" s="47">
        <v>13557</v>
      </c>
      <c r="AB91" s="47">
        <v>259</v>
      </c>
      <c r="AC91" s="47">
        <f t="shared" si="87"/>
        <v>1054</v>
      </c>
      <c r="AD91" s="47">
        <v>722</v>
      </c>
      <c r="AE91" s="47">
        <v>0</v>
      </c>
      <c r="AF91" s="47">
        <v>0</v>
      </c>
      <c r="AG91" s="47">
        <v>0</v>
      </c>
      <c r="AH91" s="47">
        <v>0</v>
      </c>
      <c r="AI91" s="47">
        <v>0</v>
      </c>
      <c r="AJ91" s="47"/>
      <c r="AK91" s="47">
        <v>0</v>
      </c>
      <c r="AL91" s="47">
        <v>0</v>
      </c>
      <c r="AM91" s="47">
        <v>0</v>
      </c>
    </row>
    <row r="92" spans="2:39" ht="15">
      <c r="B92" s="32" t="s">
        <v>36</v>
      </c>
      <c r="D92" s="47">
        <v>0</v>
      </c>
      <c r="E92" s="47">
        <v>0</v>
      </c>
      <c r="F92" s="47">
        <v>0</v>
      </c>
      <c r="G92" s="47">
        <v>32500</v>
      </c>
      <c r="H92" s="47">
        <v>35769</v>
      </c>
      <c r="I92" s="47">
        <v>38143</v>
      </c>
      <c r="J92" s="47">
        <v>41357</v>
      </c>
      <c r="K92" s="47">
        <v>43195</v>
      </c>
      <c r="L92" s="47">
        <v>44128</v>
      </c>
      <c r="M92" s="11"/>
      <c r="N92" s="47">
        <v>0</v>
      </c>
      <c r="O92" s="47">
        <v>0</v>
      </c>
      <c r="P92" s="47">
        <v>0</v>
      </c>
      <c r="Q92" s="47">
        <f t="shared" si="84"/>
        <v>0</v>
      </c>
      <c r="R92" s="47">
        <v>22386</v>
      </c>
      <c r="S92" s="47">
        <v>32500</v>
      </c>
      <c r="T92" s="47">
        <v>32500</v>
      </c>
      <c r="U92" s="47">
        <f t="shared" si="85"/>
        <v>32500</v>
      </c>
      <c r="V92" s="47">
        <v>32500</v>
      </c>
      <c r="W92" s="47">
        <v>35770</v>
      </c>
      <c r="X92" s="47">
        <v>42357</v>
      </c>
      <c r="Y92" s="47">
        <f t="shared" si="86"/>
        <v>35769</v>
      </c>
      <c r="Z92" s="47">
        <v>37839</v>
      </c>
      <c r="AA92" s="47">
        <v>39598</v>
      </c>
      <c r="AB92" s="47">
        <v>39021</v>
      </c>
      <c r="AC92" s="47">
        <f t="shared" si="87"/>
        <v>38143</v>
      </c>
      <c r="AD92" s="47">
        <v>38978</v>
      </c>
      <c r="AE92" s="47">
        <v>40125</v>
      </c>
      <c r="AF92" s="47">
        <v>40703</v>
      </c>
      <c r="AG92" s="47">
        <v>41357</v>
      </c>
      <c r="AH92" s="47">
        <v>41800</v>
      </c>
      <c r="AI92" s="47">
        <v>42248</v>
      </c>
      <c r="AJ92" s="47">
        <v>42710</v>
      </c>
      <c r="AK92" s="47">
        <v>43195</v>
      </c>
      <c r="AL92" s="47">
        <v>43661</v>
      </c>
      <c r="AM92" s="47">
        <v>44128</v>
      </c>
    </row>
    <row r="93" spans="2:39" ht="15">
      <c r="B93" s="32" t="s">
        <v>42</v>
      </c>
      <c r="D93" s="47">
        <v>0</v>
      </c>
      <c r="E93" s="47">
        <v>0</v>
      </c>
      <c r="F93" s="47">
        <v>0</v>
      </c>
      <c r="G93" s="47">
        <v>0</v>
      </c>
      <c r="H93" s="47">
        <v>23528</v>
      </c>
      <c r="I93" s="47">
        <v>0</v>
      </c>
      <c r="J93" s="47">
        <v>0</v>
      </c>
      <c r="K93" s="47">
        <v>0</v>
      </c>
      <c r="L93" s="47">
        <v>0</v>
      </c>
      <c r="M93" s="11"/>
      <c r="N93" s="47"/>
      <c r="O93" s="47"/>
      <c r="P93" s="47"/>
      <c r="Q93" s="47">
        <f t="shared" si="84"/>
        <v>0</v>
      </c>
      <c r="R93" s="47">
        <v>0</v>
      </c>
      <c r="S93" s="47">
        <v>0</v>
      </c>
      <c r="T93" s="47">
        <v>0</v>
      </c>
      <c r="U93" s="47">
        <v>0</v>
      </c>
      <c r="V93" s="47">
        <v>15827</v>
      </c>
      <c r="W93" s="47">
        <v>12401</v>
      </c>
      <c r="X93" s="47">
        <v>19621</v>
      </c>
      <c r="Y93" s="47">
        <f t="shared" si="86"/>
        <v>23528</v>
      </c>
      <c r="Z93" s="47">
        <v>11868</v>
      </c>
      <c r="AA93" s="47">
        <v>5610</v>
      </c>
      <c r="AB93" s="47">
        <v>4875</v>
      </c>
      <c r="AC93" s="47">
        <f t="shared" si="87"/>
        <v>0</v>
      </c>
      <c r="AD93" s="47">
        <v>0</v>
      </c>
      <c r="AE93" s="47">
        <v>0</v>
      </c>
      <c r="AF93" s="47">
        <v>0</v>
      </c>
      <c r="AG93" s="47">
        <v>0</v>
      </c>
      <c r="AH93" s="47">
        <v>0</v>
      </c>
      <c r="AI93" s="47">
        <v>0</v>
      </c>
      <c r="AJ93" s="47"/>
      <c r="AK93" s="47">
        <v>0</v>
      </c>
      <c r="AL93" s="47"/>
      <c r="AM93" s="47">
        <v>0</v>
      </c>
    </row>
    <row r="94" spans="2:39" ht="15">
      <c r="B94" s="16" t="s">
        <v>37</v>
      </c>
      <c r="D94" s="47">
        <v>7105</v>
      </c>
      <c r="E94" s="47">
        <v>3194</v>
      </c>
      <c r="F94" s="47">
        <v>3514</v>
      </c>
      <c r="G94" s="47">
        <v>11104</v>
      </c>
      <c r="H94" s="47">
        <v>48920</v>
      </c>
      <c r="I94" s="47">
        <v>38097</v>
      </c>
      <c r="J94" s="47">
        <v>48735</v>
      </c>
      <c r="K94" s="47">
        <v>36591</v>
      </c>
      <c r="L94" s="47">
        <v>55007</v>
      </c>
      <c r="M94" s="11"/>
      <c r="N94" s="47">
        <v>4712</v>
      </c>
      <c r="O94" s="47">
        <v>2820</v>
      </c>
      <c r="P94" s="47">
        <v>3378</v>
      </c>
      <c r="Q94" s="47">
        <f t="shared" si="84"/>
        <v>3514</v>
      </c>
      <c r="R94" s="47">
        <v>9357</v>
      </c>
      <c r="S94" s="47">
        <v>9742</v>
      </c>
      <c r="T94" s="47">
        <v>8817</v>
      </c>
      <c r="U94" s="47">
        <f>G94</f>
        <v>11104</v>
      </c>
      <c r="V94" s="47">
        <v>21981</v>
      </c>
      <c r="W94" s="47">
        <v>28781.44601</v>
      </c>
      <c r="X94" s="47">
        <v>46389</v>
      </c>
      <c r="Y94" s="47">
        <f t="shared" si="86"/>
        <v>48920</v>
      </c>
      <c r="Z94" s="47">
        <v>53012</v>
      </c>
      <c r="AA94" s="47">
        <v>53799</v>
      </c>
      <c r="AB94" s="47">
        <v>49982</v>
      </c>
      <c r="AC94" s="47">
        <f t="shared" si="87"/>
        <v>38097</v>
      </c>
      <c r="AD94" s="47">
        <v>54843</v>
      </c>
      <c r="AE94" s="47">
        <v>61670</v>
      </c>
      <c r="AF94" s="47">
        <v>45777</v>
      </c>
      <c r="AG94" s="47">
        <v>48735</v>
      </c>
      <c r="AH94" s="47">
        <v>56098</v>
      </c>
      <c r="AI94" s="47">
        <v>40963</v>
      </c>
      <c r="AJ94" s="47">
        <v>34198</v>
      </c>
      <c r="AK94" s="47">
        <v>36591</v>
      </c>
      <c r="AL94" s="47">
        <v>40072</v>
      </c>
      <c r="AM94" s="47">
        <v>43181</v>
      </c>
    </row>
    <row r="95" spans="2:39" ht="15">
      <c r="B95" s="33"/>
      <c r="D95" s="51">
        <f t="shared" ref="D95:G95" si="88">SUM(D87:D94)</f>
        <v>461849</v>
      </c>
      <c r="E95" s="51">
        <f t="shared" si="88"/>
        <v>513060</v>
      </c>
      <c r="F95" s="51">
        <f t="shared" si="88"/>
        <v>555270</v>
      </c>
      <c r="G95" s="51">
        <f t="shared" si="88"/>
        <v>1749711</v>
      </c>
      <c r="H95" s="51">
        <f t="shared" ref="H95:J95" si="89">SUM(H87:H94)</f>
        <v>1160148</v>
      </c>
      <c r="I95" s="51">
        <f t="shared" si="89"/>
        <v>1258173</v>
      </c>
      <c r="J95" s="51">
        <f t="shared" si="89"/>
        <v>1477702</v>
      </c>
      <c r="K95" s="51">
        <v>1494093</v>
      </c>
      <c r="L95" s="51">
        <v>1572489</v>
      </c>
      <c r="M95" s="11"/>
      <c r="N95" s="51">
        <f t="shared" ref="N95:AB95" si="90">SUM(N87:N94)</f>
        <v>536314.25</v>
      </c>
      <c r="O95" s="51">
        <f t="shared" si="90"/>
        <v>552292</v>
      </c>
      <c r="P95" s="51">
        <f t="shared" si="90"/>
        <v>535134</v>
      </c>
      <c r="Q95" s="51">
        <f t="shared" si="84"/>
        <v>555270</v>
      </c>
      <c r="R95" s="51">
        <f t="shared" si="90"/>
        <v>559288</v>
      </c>
      <c r="S95" s="51">
        <f t="shared" si="90"/>
        <v>1771758</v>
      </c>
      <c r="T95" s="51">
        <f t="shared" si="90"/>
        <v>1712885</v>
      </c>
      <c r="U95" s="51">
        <f t="shared" si="90"/>
        <v>1749711</v>
      </c>
      <c r="V95" s="51">
        <f t="shared" si="90"/>
        <v>1423759</v>
      </c>
      <c r="W95" s="51">
        <f t="shared" si="90"/>
        <v>1211705.3940600001</v>
      </c>
      <c r="X95" s="51">
        <f t="shared" si="90"/>
        <v>1209004</v>
      </c>
      <c r="Y95" s="51">
        <f t="shared" si="90"/>
        <v>1160148</v>
      </c>
      <c r="Z95" s="51">
        <f t="shared" si="90"/>
        <v>1148687</v>
      </c>
      <c r="AA95" s="51">
        <f t="shared" si="90"/>
        <v>1230241</v>
      </c>
      <c r="AB95" s="51">
        <f t="shared" si="90"/>
        <v>1308895</v>
      </c>
      <c r="AC95" s="51">
        <f t="shared" si="87"/>
        <v>1258173</v>
      </c>
      <c r="AD95" s="51">
        <f t="shared" ref="AD95:AG95" si="91">SUM(AD87:AD94)</f>
        <v>1285337</v>
      </c>
      <c r="AE95" s="51">
        <v>1125002</v>
      </c>
      <c r="AF95" s="51">
        <f t="shared" si="91"/>
        <v>1544534</v>
      </c>
      <c r="AG95" s="51">
        <f t="shared" si="91"/>
        <v>1477702</v>
      </c>
      <c r="AH95" s="51">
        <v>1518855</v>
      </c>
      <c r="AI95" s="51">
        <v>1499516</v>
      </c>
      <c r="AJ95" s="51">
        <v>1562929</v>
      </c>
      <c r="AK95" s="51">
        <v>1494093</v>
      </c>
      <c r="AL95" s="51">
        <v>1515405</v>
      </c>
      <c r="AM95" s="51">
        <v>1560663</v>
      </c>
    </row>
    <row r="96" spans="2:39" ht="15">
      <c r="B96" s="32" t="s">
        <v>359</v>
      </c>
      <c r="D96" s="47"/>
      <c r="E96" s="47"/>
      <c r="F96" s="47"/>
      <c r="G96" s="47"/>
      <c r="H96" s="47"/>
      <c r="I96" s="47"/>
      <c r="J96" s="47">
        <v>0</v>
      </c>
      <c r="K96" s="47">
        <v>0</v>
      </c>
      <c r="L96" s="47">
        <v>0</v>
      </c>
      <c r="M96" s="11"/>
      <c r="N96" s="47"/>
      <c r="O96" s="47"/>
      <c r="P96" s="47"/>
      <c r="Q96" s="47"/>
      <c r="R96" s="47"/>
      <c r="S96" s="47"/>
      <c r="T96" s="47"/>
      <c r="U96" s="47"/>
      <c r="V96" s="47">
        <v>0</v>
      </c>
      <c r="W96" s="47">
        <v>0</v>
      </c>
      <c r="X96" s="47">
        <v>0</v>
      </c>
      <c r="Y96" s="47">
        <v>0</v>
      </c>
      <c r="Z96" s="47">
        <v>0</v>
      </c>
      <c r="AA96" s="47">
        <v>0</v>
      </c>
      <c r="AB96" s="47">
        <v>0</v>
      </c>
      <c r="AC96" s="47">
        <v>0</v>
      </c>
      <c r="AD96" s="47">
        <v>0</v>
      </c>
      <c r="AE96" s="47">
        <v>988894</v>
      </c>
      <c r="AF96" s="47">
        <v>0</v>
      </c>
      <c r="AG96" s="47">
        <v>0</v>
      </c>
      <c r="AH96" s="47">
        <v>0</v>
      </c>
      <c r="AI96" s="47"/>
      <c r="AJ96" s="47"/>
      <c r="AK96" s="47">
        <v>0</v>
      </c>
      <c r="AL96" s="47"/>
      <c r="AM96" s="47">
        <v>0</v>
      </c>
    </row>
    <row r="97" spans="2:39" ht="15">
      <c r="B97" s="33" t="s">
        <v>38</v>
      </c>
      <c r="D97" s="51">
        <f>SUM(D95:D96)</f>
        <v>461849</v>
      </c>
      <c r="E97" s="51">
        <f t="shared" ref="E97:J97" si="92">SUM(E95:E96)</f>
        <v>513060</v>
      </c>
      <c r="F97" s="51">
        <f t="shared" si="92"/>
        <v>555270</v>
      </c>
      <c r="G97" s="51">
        <f t="shared" si="92"/>
        <v>1749711</v>
      </c>
      <c r="H97" s="51">
        <f t="shared" si="92"/>
        <v>1160148</v>
      </c>
      <c r="I97" s="51">
        <f t="shared" si="92"/>
        <v>1258173</v>
      </c>
      <c r="J97" s="51">
        <f t="shared" si="92"/>
        <v>1477702</v>
      </c>
      <c r="K97" s="51">
        <v>1494093</v>
      </c>
      <c r="L97" s="51">
        <v>1572489</v>
      </c>
      <c r="M97" s="11"/>
      <c r="N97" s="51">
        <f>N96+N95</f>
        <v>536314.25</v>
      </c>
      <c r="O97" s="51">
        <f t="shared" ref="O97:AG97" si="93">O96+O95</f>
        <v>552292</v>
      </c>
      <c r="P97" s="51">
        <f t="shared" si="93"/>
        <v>535134</v>
      </c>
      <c r="Q97" s="51">
        <f t="shared" si="93"/>
        <v>555270</v>
      </c>
      <c r="R97" s="51">
        <f t="shared" si="93"/>
        <v>559288</v>
      </c>
      <c r="S97" s="51">
        <f t="shared" si="93"/>
        <v>1771758</v>
      </c>
      <c r="T97" s="51">
        <f t="shared" si="93"/>
        <v>1712885</v>
      </c>
      <c r="U97" s="51">
        <f t="shared" si="93"/>
        <v>1749711</v>
      </c>
      <c r="V97" s="51">
        <f t="shared" si="93"/>
        <v>1423759</v>
      </c>
      <c r="W97" s="51">
        <f t="shared" si="93"/>
        <v>1211705.3940600001</v>
      </c>
      <c r="X97" s="51">
        <f t="shared" si="93"/>
        <v>1209004</v>
      </c>
      <c r="Y97" s="51">
        <f t="shared" si="93"/>
        <v>1160148</v>
      </c>
      <c r="Z97" s="51">
        <f t="shared" si="93"/>
        <v>1148687</v>
      </c>
      <c r="AA97" s="51">
        <f t="shared" si="93"/>
        <v>1230241</v>
      </c>
      <c r="AB97" s="51">
        <f t="shared" si="93"/>
        <v>1308895</v>
      </c>
      <c r="AC97" s="51">
        <f t="shared" si="93"/>
        <v>1258173</v>
      </c>
      <c r="AD97" s="51">
        <f t="shared" si="93"/>
        <v>1285337</v>
      </c>
      <c r="AE97" s="51">
        <v>2113896</v>
      </c>
      <c r="AF97" s="51">
        <f t="shared" si="93"/>
        <v>1544534</v>
      </c>
      <c r="AG97" s="51">
        <f t="shared" si="93"/>
        <v>1477702</v>
      </c>
      <c r="AH97" s="51">
        <v>1518855</v>
      </c>
      <c r="AI97" s="51">
        <v>1499516</v>
      </c>
      <c r="AJ97" s="51">
        <v>1562929</v>
      </c>
      <c r="AK97" s="51">
        <v>1494093</v>
      </c>
      <c r="AL97" s="51">
        <v>1515405</v>
      </c>
      <c r="AM97" s="51">
        <v>1560663</v>
      </c>
    </row>
    <row r="98" spans="2:39" ht="15">
      <c r="B98" s="28" t="s">
        <v>39</v>
      </c>
      <c r="D98" s="46"/>
      <c r="E98" s="46"/>
      <c r="F98" s="46"/>
      <c r="G98" s="46"/>
      <c r="H98" s="46"/>
      <c r="I98" s="46"/>
      <c r="J98" s="46">
        <v>0</v>
      </c>
      <c r="K98" s="46"/>
      <c r="L98" s="46"/>
      <c r="M98" s="11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</row>
    <row r="99" spans="2:39" ht="15">
      <c r="B99" s="32" t="s">
        <v>36</v>
      </c>
      <c r="D99" s="46">
        <v>0</v>
      </c>
      <c r="E99" s="46">
        <v>0</v>
      </c>
      <c r="F99" s="46">
        <v>0</v>
      </c>
      <c r="G99" s="46">
        <v>134900</v>
      </c>
      <c r="H99" s="47">
        <v>279841</v>
      </c>
      <c r="I99" s="47">
        <v>305142</v>
      </c>
      <c r="J99" s="47">
        <v>289502</v>
      </c>
      <c r="K99" s="47">
        <v>259168</v>
      </c>
      <c r="L99" s="47">
        <v>242703</v>
      </c>
      <c r="M99" s="11"/>
      <c r="N99" s="46">
        <v>0</v>
      </c>
      <c r="O99" s="46">
        <v>0</v>
      </c>
      <c r="P99" s="46">
        <v>0</v>
      </c>
      <c r="Q99" s="46">
        <f>F99</f>
        <v>0</v>
      </c>
      <c r="R99" s="46">
        <v>0</v>
      </c>
      <c r="S99" s="46">
        <v>40317</v>
      </c>
      <c r="T99" s="46">
        <v>96421</v>
      </c>
      <c r="U99" s="46">
        <f>G99</f>
        <v>134900</v>
      </c>
      <c r="V99" s="46">
        <v>240822</v>
      </c>
      <c r="W99" s="47">
        <v>258987</v>
      </c>
      <c r="X99" s="47">
        <v>263197</v>
      </c>
      <c r="Y99" s="47">
        <f>H99</f>
        <v>279841</v>
      </c>
      <c r="Z99" s="47">
        <v>293846</v>
      </c>
      <c r="AA99" s="47">
        <v>301622</v>
      </c>
      <c r="AB99" s="47">
        <v>301622</v>
      </c>
      <c r="AC99" s="47">
        <f t="shared" ref="AC99:AC111" si="94">I99</f>
        <v>305142</v>
      </c>
      <c r="AD99" s="47">
        <v>302082</v>
      </c>
      <c r="AE99" s="47">
        <v>297776</v>
      </c>
      <c r="AF99" s="47">
        <v>295099</v>
      </c>
      <c r="AG99" s="47">
        <v>289502</v>
      </c>
      <c r="AH99" s="47">
        <v>282150</v>
      </c>
      <c r="AI99" s="47">
        <v>274563</v>
      </c>
      <c r="AJ99" s="47">
        <v>266937</v>
      </c>
      <c r="AK99" s="47">
        <v>259168</v>
      </c>
      <c r="AL99" s="47">
        <v>251050</v>
      </c>
      <c r="AM99" s="47">
        <v>242703</v>
      </c>
    </row>
    <row r="100" spans="2:39" ht="15">
      <c r="B100" s="32" t="s">
        <v>42</v>
      </c>
      <c r="D100" s="47">
        <v>0</v>
      </c>
      <c r="E100" s="47">
        <v>0</v>
      </c>
      <c r="F100" s="47">
        <v>52222</v>
      </c>
      <c r="G100" s="46">
        <v>76980</v>
      </c>
      <c r="H100" s="47">
        <v>0</v>
      </c>
      <c r="I100" s="47">
        <v>0</v>
      </c>
      <c r="J100" s="47">
        <v>0</v>
      </c>
      <c r="K100" s="1">
        <v>0</v>
      </c>
      <c r="L100" s="1">
        <v>0</v>
      </c>
      <c r="M100" s="11"/>
      <c r="N100" s="47">
        <v>0</v>
      </c>
      <c r="O100" s="47">
        <v>0</v>
      </c>
      <c r="P100" s="47">
        <v>0</v>
      </c>
      <c r="Q100" s="47">
        <f>F100</f>
        <v>52222</v>
      </c>
      <c r="R100" s="47">
        <v>51887</v>
      </c>
      <c r="S100" s="47">
        <v>42048</v>
      </c>
      <c r="T100" s="47">
        <v>41938</v>
      </c>
      <c r="U100" s="47">
        <f>G100</f>
        <v>76980</v>
      </c>
      <c r="V100" s="47">
        <v>0</v>
      </c>
      <c r="W100" s="47">
        <v>0</v>
      </c>
      <c r="X100" s="47">
        <v>0</v>
      </c>
      <c r="Y100" s="47">
        <f>H100</f>
        <v>0</v>
      </c>
      <c r="Z100" s="47">
        <f t="shared" ref="Z100:Z105" si="95">M100</f>
        <v>0</v>
      </c>
      <c r="AA100" s="47">
        <v>0</v>
      </c>
      <c r="AB100" s="47">
        <f t="shared" ref="AB100:AB105" si="96">M100</f>
        <v>0</v>
      </c>
      <c r="AC100" s="47">
        <f t="shared" si="94"/>
        <v>0</v>
      </c>
      <c r="AD100" s="47">
        <v>0</v>
      </c>
      <c r="AE100" s="47">
        <v>0</v>
      </c>
      <c r="AF100" s="47">
        <v>0</v>
      </c>
      <c r="AG100" s="47">
        <v>0</v>
      </c>
      <c r="AH100" s="47">
        <v>0</v>
      </c>
      <c r="AI100" s="50">
        <v>0</v>
      </c>
      <c r="AJ100" s="50">
        <v>0</v>
      </c>
      <c r="AK100" s="50">
        <v>0</v>
      </c>
      <c r="AL100" s="50">
        <v>0</v>
      </c>
      <c r="AM100" s="50">
        <v>0</v>
      </c>
    </row>
    <row r="101" spans="2:39" ht="15">
      <c r="B101" s="32" t="s">
        <v>40</v>
      </c>
      <c r="D101" s="47">
        <v>14456</v>
      </c>
      <c r="E101" s="47">
        <v>25065</v>
      </c>
      <c r="F101" s="47">
        <v>27651</v>
      </c>
      <c r="G101" s="46">
        <v>36649</v>
      </c>
      <c r="H101" s="47">
        <v>56071</v>
      </c>
      <c r="I101" s="47">
        <v>48138</v>
      </c>
      <c r="J101" s="47">
        <v>51177</v>
      </c>
      <c r="K101" s="47">
        <v>60666</v>
      </c>
      <c r="L101" s="47">
        <v>63906</v>
      </c>
      <c r="M101" s="11"/>
      <c r="N101" s="47">
        <v>25765</v>
      </c>
      <c r="O101" s="47">
        <v>26223</v>
      </c>
      <c r="P101" s="47">
        <v>27041</v>
      </c>
      <c r="Q101" s="47">
        <f>F101</f>
        <v>27651</v>
      </c>
      <c r="R101" s="47">
        <v>28350</v>
      </c>
      <c r="S101" s="47">
        <v>29348</v>
      </c>
      <c r="T101" s="47">
        <v>31032</v>
      </c>
      <c r="U101" s="47">
        <f>G101</f>
        <v>36649</v>
      </c>
      <c r="V101" s="47">
        <v>40930</v>
      </c>
      <c r="W101" s="47">
        <v>45376.180999999997</v>
      </c>
      <c r="X101" s="47">
        <v>51271</v>
      </c>
      <c r="Y101" s="47">
        <f>H101</f>
        <v>56071</v>
      </c>
      <c r="Z101" s="47">
        <v>61005</v>
      </c>
      <c r="AA101" s="47">
        <v>64704</v>
      </c>
      <c r="AB101" s="47">
        <v>68260</v>
      </c>
      <c r="AC101" s="47">
        <f t="shared" si="94"/>
        <v>48138</v>
      </c>
      <c r="AD101" s="47">
        <v>49470</v>
      </c>
      <c r="AE101" s="47">
        <v>47292</v>
      </c>
      <c r="AF101" s="47">
        <v>50192</v>
      </c>
      <c r="AG101" s="47">
        <v>51177</v>
      </c>
      <c r="AH101" s="47">
        <v>53456</v>
      </c>
      <c r="AI101" s="47">
        <v>53881</v>
      </c>
      <c r="AJ101" s="47">
        <v>57390</v>
      </c>
      <c r="AK101" s="47">
        <v>60666</v>
      </c>
      <c r="AL101" s="47">
        <v>61392</v>
      </c>
      <c r="AM101" s="47">
        <v>63906</v>
      </c>
    </row>
    <row r="102" spans="2:39" ht="15">
      <c r="B102" s="32" t="s">
        <v>41</v>
      </c>
      <c r="D102" s="47">
        <v>5556</v>
      </c>
      <c r="E102" s="47">
        <v>12287</v>
      </c>
      <c r="F102" s="47">
        <v>49782</v>
      </c>
      <c r="G102" s="46">
        <v>76171</v>
      </c>
      <c r="H102" s="47">
        <v>69551</v>
      </c>
      <c r="I102" s="47">
        <v>58127</v>
      </c>
      <c r="J102" s="47">
        <v>229929</v>
      </c>
      <c r="K102" s="47">
        <v>234266</v>
      </c>
      <c r="L102" s="47">
        <v>235189</v>
      </c>
      <c r="M102" s="11"/>
      <c r="N102" s="47">
        <v>14715</v>
      </c>
      <c r="O102" s="47">
        <v>16742</v>
      </c>
      <c r="P102" s="47">
        <v>11487</v>
      </c>
      <c r="Q102" s="47">
        <f>F102</f>
        <v>49782</v>
      </c>
      <c r="R102" s="47">
        <v>55350</v>
      </c>
      <c r="S102" s="47">
        <v>63791</v>
      </c>
      <c r="T102" s="47">
        <v>69627</v>
      </c>
      <c r="U102" s="47">
        <f>G102</f>
        <v>76171</v>
      </c>
      <c r="V102" s="47">
        <v>85318</v>
      </c>
      <c r="W102" s="47">
        <v>78830.990999999995</v>
      </c>
      <c r="X102" s="47">
        <v>76409</v>
      </c>
      <c r="Y102" s="47">
        <f>H102</f>
        <v>69551</v>
      </c>
      <c r="Z102" s="47">
        <v>60651</v>
      </c>
      <c r="AA102" s="47">
        <v>47625</v>
      </c>
      <c r="AB102" s="47">
        <v>48705</v>
      </c>
      <c r="AC102" s="47">
        <f t="shared" si="94"/>
        <v>58127</v>
      </c>
      <c r="AD102" s="47">
        <v>62226</v>
      </c>
      <c r="AE102" s="47">
        <v>263872</v>
      </c>
      <c r="AF102" s="47">
        <v>231274</v>
      </c>
      <c r="AG102" s="47">
        <v>229929</v>
      </c>
      <c r="AH102" s="47">
        <v>225364</v>
      </c>
      <c r="AI102" s="47">
        <v>224820</v>
      </c>
      <c r="AJ102" s="47">
        <v>231401</v>
      </c>
      <c r="AK102" s="47">
        <v>234266</v>
      </c>
      <c r="AL102" s="47">
        <v>233511</v>
      </c>
      <c r="AM102" s="47">
        <v>235189</v>
      </c>
    </row>
    <row r="103" spans="2:39" ht="15">
      <c r="B103" s="32" t="s">
        <v>35</v>
      </c>
      <c r="D103" s="47"/>
      <c r="E103" s="47"/>
      <c r="F103" s="47"/>
      <c r="G103" s="46"/>
      <c r="H103" s="47"/>
      <c r="I103" s="47">
        <v>9800</v>
      </c>
      <c r="J103" s="47">
        <v>0</v>
      </c>
      <c r="K103" s="47">
        <v>0</v>
      </c>
      <c r="L103" s="47">
        <v>0</v>
      </c>
      <c r="M103" s="11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>
        <f t="shared" si="94"/>
        <v>9800</v>
      </c>
      <c r="AD103" s="47">
        <v>4678</v>
      </c>
      <c r="AE103" s="47">
        <v>0</v>
      </c>
      <c r="AF103" s="47">
        <v>0</v>
      </c>
      <c r="AG103" s="47">
        <v>0</v>
      </c>
      <c r="AH103" s="47">
        <v>0</v>
      </c>
      <c r="AI103" s="47">
        <v>0</v>
      </c>
      <c r="AJ103" s="47"/>
      <c r="AK103" s="47">
        <v>0</v>
      </c>
      <c r="AL103" s="47"/>
      <c r="AM103" s="47">
        <v>0</v>
      </c>
    </row>
    <row r="104" spans="2:39" ht="15">
      <c r="B104" s="16" t="s">
        <v>8</v>
      </c>
      <c r="D104" s="47">
        <v>35</v>
      </c>
      <c r="E104" s="47">
        <v>35</v>
      </c>
      <c r="F104" s="47">
        <v>35</v>
      </c>
      <c r="G104" s="46">
        <v>40144</v>
      </c>
      <c r="H104" s="47">
        <v>43626</v>
      </c>
      <c r="I104" s="47">
        <v>18812</v>
      </c>
      <c r="J104" s="47">
        <v>14332</v>
      </c>
      <c r="K104" s="47">
        <v>11506</v>
      </c>
      <c r="L104" s="47">
        <v>10879</v>
      </c>
      <c r="M104" s="11"/>
      <c r="N104" s="47">
        <v>35</v>
      </c>
      <c r="O104" s="47">
        <v>35</v>
      </c>
      <c r="P104" s="47">
        <v>35</v>
      </c>
      <c r="Q104" s="47">
        <f>F104</f>
        <v>35</v>
      </c>
      <c r="R104" s="47">
        <v>35</v>
      </c>
      <c r="S104" s="47">
        <v>35</v>
      </c>
      <c r="T104" s="47">
        <v>35</v>
      </c>
      <c r="U104" s="47">
        <f>G104</f>
        <v>40144</v>
      </c>
      <c r="V104" s="47">
        <v>40950</v>
      </c>
      <c r="W104" s="47">
        <v>44212.442209999776</v>
      </c>
      <c r="X104" s="47">
        <v>45380</v>
      </c>
      <c r="Y104" s="47">
        <f t="shared" ref="Y104:Y109" si="97">H104</f>
        <v>43626</v>
      </c>
      <c r="Z104" s="47">
        <v>45584</v>
      </c>
      <c r="AA104" s="47">
        <v>18757</v>
      </c>
      <c r="AB104" s="47">
        <v>18867</v>
      </c>
      <c r="AC104" s="47">
        <f t="shared" si="94"/>
        <v>18812</v>
      </c>
      <c r="AD104" s="47">
        <v>18481</v>
      </c>
      <c r="AE104" s="47">
        <v>16820</v>
      </c>
      <c r="AF104" s="47">
        <v>15773</v>
      </c>
      <c r="AG104" s="47">
        <v>14332</v>
      </c>
      <c r="AH104" s="47">
        <v>12393</v>
      </c>
      <c r="AI104" s="47">
        <v>12174</v>
      </c>
      <c r="AJ104" s="47">
        <v>11837</v>
      </c>
      <c r="AK104" s="47">
        <v>11506</v>
      </c>
      <c r="AL104" s="47">
        <v>10978</v>
      </c>
      <c r="AM104" s="47">
        <v>10879</v>
      </c>
    </row>
    <row r="105" spans="2:39" ht="15">
      <c r="B105" s="32" t="s">
        <v>43</v>
      </c>
      <c r="D105" s="47">
        <v>64602</v>
      </c>
      <c r="E105" s="47">
        <v>63772</v>
      </c>
      <c r="F105" s="47">
        <v>0</v>
      </c>
      <c r="G105" s="46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11"/>
      <c r="N105" s="47">
        <v>63564</v>
      </c>
      <c r="O105" s="47">
        <v>63355</v>
      </c>
      <c r="P105" s="47">
        <v>63149</v>
      </c>
      <c r="Q105" s="47">
        <f>F105</f>
        <v>0</v>
      </c>
      <c r="R105" s="47">
        <v>0</v>
      </c>
      <c r="S105" s="47">
        <v>0</v>
      </c>
      <c r="T105" s="47">
        <v>0</v>
      </c>
      <c r="U105" s="47">
        <f>G105</f>
        <v>0</v>
      </c>
      <c r="V105" s="47">
        <v>0</v>
      </c>
      <c r="W105" s="47">
        <v>0</v>
      </c>
      <c r="X105" s="47">
        <v>0</v>
      </c>
      <c r="Y105" s="47">
        <f t="shared" si="97"/>
        <v>0</v>
      </c>
      <c r="Z105" s="47">
        <f t="shared" si="95"/>
        <v>0</v>
      </c>
      <c r="AA105" s="47">
        <v>0</v>
      </c>
      <c r="AB105" s="47">
        <f t="shared" si="96"/>
        <v>0</v>
      </c>
      <c r="AC105" s="47">
        <f t="shared" si="94"/>
        <v>0</v>
      </c>
      <c r="AD105" s="47">
        <v>0</v>
      </c>
      <c r="AE105" s="47">
        <v>0</v>
      </c>
      <c r="AF105" s="47">
        <v>0</v>
      </c>
      <c r="AG105" s="47">
        <v>0</v>
      </c>
      <c r="AH105" s="47">
        <v>0</v>
      </c>
      <c r="AI105" s="1">
        <v>0</v>
      </c>
      <c r="AK105" s="1">
        <v>0</v>
      </c>
      <c r="AM105" s="1">
        <v>0</v>
      </c>
    </row>
    <row r="106" spans="2:39" ht="15">
      <c r="B106" s="32" t="s">
        <v>44</v>
      </c>
      <c r="D106" s="47">
        <v>0</v>
      </c>
      <c r="E106" s="47">
        <v>3091</v>
      </c>
      <c r="F106" s="47">
        <v>400435</v>
      </c>
      <c r="G106" s="46">
        <v>548519</v>
      </c>
      <c r="H106" s="47">
        <v>719828</v>
      </c>
      <c r="I106" s="47">
        <v>753232</v>
      </c>
      <c r="J106" s="47">
        <v>656637</v>
      </c>
      <c r="K106" s="47">
        <v>665852</v>
      </c>
      <c r="L106" s="47">
        <v>680145</v>
      </c>
      <c r="M106" s="11"/>
      <c r="N106" s="47">
        <v>7123</v>
      </c>
      <c r="O106" s="47">
        <v>6363</v>
      </c>
      <c r="P106" s="47">
        <v>5604</v>
      </c>
      <c r="Q106" s="47">
        <f>F106</f>
        <v>400435</v>
      </c>
      <c r="R106" s="47">
        <v>396376</v>
      </c>
      <c r="S106" s="47">
        <v>392320</v>
      </c>
      <c r="T106" s="47">
        <v>388264</v>
      </c>
      <c r="U106" s="47">
        <f>G106</f>
        <v>548519</v>
      </c>
      <c r="V106" s="47">
        <v>584361</v>
      </c>
      <c r="W106" s="47">
        <v>718163.57700000005</v>
      </c>
      <c r="X106" s="47">
        <v>710652</v>
      </c>
      <c r="Y106" s="47">
        <f t="shared" si="97"/>
        <v>719828</v>
      </c>
      <c r="Z106" s="47">
        <v>770062</v>
      </c>
      <c r="AA106" s="47">
        <v>767511</v>
      </c>
      <c r="AB106" s="47">
        <v>759846</v>
      </c>
      <c r="AC106" s="47">
        <f t="shared" si="94"/>
        <v>753232</v>
      </c>
      <c r="AD106" s="47">
        <v>775593</v>
      </c>
      <c r="AE106" s="47">
        <v>595457</v>
      </c>
      <c r="AF106" s="47">
        <v>662899</v>
      </c>
      <c r="AG106" s="47">
        <v>656637</v>
      </c>
      <c r="AH106" s="47">
        <v>674020</v>
      </c>
      <c r="AI106" s="47">
        <v>676384</v>
      </c>
      <c r="AJ106" s="47">
        <v>675117</v>
      </c>
      <c r="AK106" s="47">
        <v>665852</v>
      </c>
      <c r="AL106" s="47">
        <v>680173</v>
      </c>
      <c r="AM106" s="47">
        <v>680152</v>
      </c>
    </row>
    <row r="107" spans="2:39" ht="15">
      <c r="B107" s="16" t="s">
        <v>9</v>
      </c>
      <c r="D107" s="47">
        <v>645255</v>
      </c>
      <c r="E107" s="47">
        <v>697849</v>
      </c>
      <c r="F107" s="47">
        <v>95640</v>
      </c>
      <c r="G107" s="46">
        <v>249977</v>
      </c>
      <c r="H107" s="47">
        <v>666011</v>
      </c>
      <c r="I107" s="47">
        <v>764594</v>
      </c>
      <c r="J107" s="47">
        <v>840594</v>
      </c>
      <c r="K107" s="47">
        <v>811604</v>
      </c>
      <c r="L107" s="47">
        <v>797912</v>
      </c>
      <c r="M107" s="11"/>
      <c r="N107" s="47">
        <v>703917</v>
      </c>
      <c r="O107" s="47">
        <v>704942</v>
      </c>
      <c r="P107" s="47">
        <v>714406</v>
      </c>
      <c r="Q107" s="47">
        <f>F107</f>
        <v>95640</v>
      </c>
      <c r="R107" s="47">
        <v>101059</v>
      </c>
      <c r="S107" s="47">
        <v>104520</v>
      </c>
      <c r="T107" s="47">
        <v>156430</v>
      </c>
      <c r="U107" s="47">
        <f>G107</f>
        <v>249977</v>
      </c>
      <c r="V107" s="47">
        <v>424369</v>
      </c>
      <c r="W107" s="47">
        <v>471319.63348000002</v>
      </c>
      <c r="X107" s="47">
        <v>513841</v>
      </c>
      <c r="Y107" s="47">
        <f t="shared" si="97"/>
        <v>666011</v>
      </c>
      <c r="Z107" s="47">
        <v>694394</v>
      </c>
      <c r="AA107" s="47">
        <v>708395</v>
      </c>
      <c r="AB107" s="47">
        <v>719793</v>
      </c>
      <c r="AC107" s="47">
        <f t="shared" si="94"/>
        <v>764594</v>
      </c>
      <c r="AD107" s="47">
        <v>811051</v>
      </c>
      <c r="AE107" s="47">
        <v>814346</v>
      </c>
      <c r="AF107" s="47">
        <v>835309</v>
      </c>
      <c r="AG107" s="47">
        <v>840594</v>
      </c>
      <c r="AH107" s="47">
        <v>832274</v>
      </c>
      <c r="AI107" s="47">
        <v>816386</v>
      </c>
      <c r="AJ107" s="47">
        <v>814564</v>
      </c>
      <c r="AK107" s="47">
        <v>811604</v>
      </c>
      <c r="AL107" s="47">
        <v>793001</v>
      </c>
      <c r="AM107" s="47">
        <v>797835</v>
      </c>
    </row>
    <row r="108" spans="2:39" ht="15">
      <c r="B108" s="16" t="s">
        <v>10</v>
      </c>
      <c r="D108" s="47">
        <v>6593</v>
      </c>
      <c r="E108" s="47">
        <v>5148</v>
      </c>
      <c r="F108" s="47">
        <v>2894</v>
      </c>
      <c r="G108" s="46">
        <v>1177727</v>
      </c>
      <c r="H108" s="47">
        <v>1844301</v>
      </c>
      <c r="I108" s="47">
        <v>1853209</v>
      </c>
      <c r="J108" s="47">
        <v>730289</v>
      </c>
      <c r="K108" s="47">
        <v>730498</v>
      </c>
      <c r="L108" s="47">
        <v>729965</v>
      </c>
      <c r="M108" s="11"/>
      <c r="N108" s="47">
        <v>4717</v>
      </c>
      <c r="O108" s="47">
        <v>4273</v>
      </c>
      <c r="P108" s="47">
        <v>4235</v>
      </c>
      <c r="Q108" s="47">
        <f>F108</f>
        <v>2894</v>
      </c>
      <c r="R108" s="47">
        <v>2989</v>
      </c>
      <c r="S108" s="47">
        <v>5174</v>
      </c>
      <c r="T108" s="47">
        <v>7709</v>
      </c>
      <c r="U108" s="47">
        <f>G108</f>
        <v>1177727</v>
      </c>
      <c r="V108" s="47">
        <v>1645423</v>
      </c>
      <c r="W108" s="47">
        <v>1800030.8090000001</v>
      </c>
      <c r="X108" s="47">
        <v>1953524</v>
      </c>
      <c r="Y108" s="47">
        <f t="shared" si="97"/>
        <v>1844301</v>
      </c>
      <c r="Z108" s="47">
        <v>1844124</v>
      </c>
      <c r="AA108" s="47">
        <v>1847933</v>
      </c>
      <c r="AB108" s="47">
        <v>1851174</v>
      </c>
      <c r="AC108" s="47">
        <f t="shared" si="94"/>
        <v>1853209</v>
      </c>
      <c r="AD108" s="47">
        <v>1853647</v>
      </c>
      <c r="AE108" s="47">
        <v>728259</v>
      </c>
      <c r="AF108" s="47">
        <v>728753</v>
      </c>
      <c r="AG108" s="47">
        <v>730289</v>
      </c>
      <c r="AH108" s="47">
        <v>729901</v>
      </c>
      <c r="AI108" s="47">
        <v>731672</v>
      </c>
      <c r="AJ108" s="47">
        <v>730981</v>
      </c>
      <c r="AK108" s="47">
        <v>730498</v>
      </c>
      <c r="AL108" s="47">
        <v>730070</v>
      </c>
      <c r="AM108" s="47">
        <v>729605</v>
      </c>
    </row>
    <row r="109" spans="2:39" ht="15">
      <c r="B109" s="16" t="s">
        <v>329</v>
      </c>
      <c r="D109" s="47"/>
      <c r="E109" s="47"/>
      <c r="F109" s="47"/>
      <c r="G109" s="46"/>
      <c r="H109" s="47">
        <v>93787</v>
      </c>
      <c r="I109" s="47">
        <v>102224</v>
      </c>
      <c r="J109" s="47">
        <v>50690</v>
      </c>
      <c r="K109" s="47">
        <v>45236</v>
      </c>
      <c r="L109" s="47">
        <v>45947</v>
      </c>
      <c r="M109" s="11"/>
      <c r="N109" s="47"/>
      <c r="O109" s="47"/>
      <c r="P109" s="47"/>
      <c r="Q109" s="47"/>
      <c r="R109" s="47">
        <v>0</v>
      </c>
      <c r="S109" s="47">
        <v>0</v>
      </c>
      <c r="T109" s="47">
        <v>0</v>
      </c>
      <c r="U109" s="47">
        <v>0</v>
      </c>
      <c r="V109" s="47">
        <v>0</v>
      </c>
      <c r="W109" s="47">
        <v>0</v>
      </c>
      <c r="X109" s="47">
        <v>0</v>
      </c>
      <c r="Y109" s="47">
        <f t="shared" si="97"/>
        <v>93787</v>
      </c>
      <c r="Z109" s="47">
        <v>95468</v>
      </c>
      <c r="AA109" s="47">
        <v>96314</v>
      </c>
      <c r="AB109" s="47">
        <v>95210</v>
      </c>
      <c r="AC109" s="47">
        <f t="shared" si="94"/>
        <v>102224</v>
      </c>
      <c r="AD109" s="47">
        <v>100276</v>
      </c>
      <c r="AE109" s="47">
        <v>51160</v>
      </c>
      <c r="AF109" s="47">
        <v>49766</v>
      </c>
      <c r="AG109" s="47">
        <v>50690</v>
      </c>
      <c r="AH109" s="47">
        <v>48954</v>
      </c>
      <c r="AI109" s="47">
        <v>49273</v>
      </c>
      <c r="AJ109" s="47">
        <v>49781</v>
      </c>
      <c r="AK109" s="47">
        <v>45236</v>
      </c>
      <c r="AL109" s="47">
        <v>59390</v>
      </c>
      <c r="AM109" s="47">
        <v>59457</v>
      </c>
    </row>
    <row r="110" spans="2:39" ht="15">
      <c r="B110" s="33" t="s">
        <v>45</v>
      </c>
      <c r="D110" s="51">
        <f>SUM(D99:D108)</f>
        <v>736497</v>
      </c>
      <c r="E110" s="51">
        <f>SUM(E99:E108)</f>
        <v>807247</v>
      </c>
      <c r="F110" s="51">
        <f>SUM(F99:F108)</f>
        <v>628659</v>
      </c>
      <c r="G110" s="51">
        <f>SUM(G99:G108)</f>
        <v>2341067</v>
      </c>
      <c r="H110" s="51">
        <f>SUM(H99:H109)</f>
        <v>3773016</v>
      </c>
      <c r="I110" s="51">
        <f>SUM(I99:I109)</f>
        <v>3913278</v>
      </c>
      <c r="J110" s="51">
        <f>SUM(J99:J109)</f>
        <v>2863150</v>
      </c>
      <c r="K110" s="51">
        <v>2818796</v>
      </c>
      <c r="L110" s="51">
        <v>2806646</v>
      </c>
      <c r="M110" s="11"/>
      <c r="N110" s="51">
        <f t="shared" ref="N110:P110" si="98">SUM(N99:N108)</f>
        <v>819836</v>
      </c>
      <c r="O110" s="51">
        <f t="shared" si="98"/>
        <v>821933</v>
      </c>
      <c r="P110" s="51">
        <f t="shared" si="98"/>
        <v>825957</v>
      </c>
      <c r="Q110" s="51">
        <f>F110</f>
        <v>628659</v>
      </c>
      <c r="R110" s="51">
        <f>SUM(R99:R109)</f>
        <v>636046</v>
      </c>
      <c r="S110" s="51">
        <f>SUM(S99:S109)</f>
        <v>677553</v>
      </c>
      <c r="T110" s="51">
        <f>SUM(T99:T109)</f>
        <v>791456</v>
      </c>
      <c r="U110" s="51">
        <f t="shared" ref="U110" si="99">SUM(U99:U108)</f>
        <v>2341067</v>
      </c>
      <c r="V110" s="51">
        <f t="shared" ref="V110:AA110" si="100">SUM(V99:V109)</f>
        <v>3062173</v>
      </c>
      <c r="W110" s="51">
        <f t="shared" si="100"/>
        <v>3416920.63369</v>
      </c>
      <c r="X110" s="51">
        <f t="shared" si="100"/>
        <v>3614274</v>
      </c>
      <c r="Y110" s="51">
        <f t="shared" si="100"/>
        <v>3773016</v>
      </c>
      <c r="Z110" s="51">
        <f t="shared" si="100"/>
        <v>3865134</v>
      </c>
      <c r="AA110" s="51">
        <f t="shared" si="100"/>
        <v>3852861</v>
      </c>
      <c r="AB110" s="51">
        <f t="shared" ref="AB110" si="101">SUM(AB99:AB109)</f>
        <v>3863477</v>
      </c>
      <c r="AC110" s="51">
        <f t="shared" si="94"/>
        <v>3913278</v>
      </c>
      <c r="AD110" s="51">
        <f>SUM(AD99:AD109)</f>
        <v>3977504</v>
      </c>
      <c r="AE110" s="51">
        <v>2814982</v>
      </c>
      <c r="AF110" s="51">
        <f>SUM(AF99:AF109)</f>
        <v>2869065</v>
      </c>
      <c r="AG110" s="51">
        <f>SUM(AG99:AG109)</f>
        <v>2863150</v>
      </c>
      <c r="AH110" s="51">
        <v>2858512</v>
      </c>
      <c r="AI110" s="51">
        <v>2839153</v>
      </c>
      <c r="AJ110" s="51">
        <v>2838008</v>
      </c>
      <c r="AK110" s="51">
        <v>2818796</v>
      </c>
      <c r="AL110" s="51">
        <v>2819565</v>
      </c>
      <c r="AM110" s="51">
        <v>2819726</v>
      </c>
    </row>
    <row r="111" spans="2:39" ht="15">
      <c r="B111" s="34" t="s">
        <v>46</v>
      </c>
      <c r="D111" s="51">
        <f t="shared" ref="D111:J111" si="102">SUM(D95,D110)</f>
        <v>1198346</v>
      </c>
      <c r="E111" s="51">
        <f t="shared" si="102"/>
        <v>1320307</v>
      </c>
      <c r="F111" s="51">
        <f t="shared" si="102"/>
        <v>1183929</v>
      </c>
      <c r="G111" s="51">
        <f t="shared" si="102"/>
        <v>4090778</v>
      </c>
      <c r="H111" s="51">
        <f t="shared" si="102"/>
        <v>4933164</v>
      </c>
      <c r="I111" s="51">
        <f t="shared" si="102"/>
        <v>5171451</v>
      </c>
      <c r="J111" s="51">
        <f t="shared" si="102"/>
        <v>4340852</v>
      </c>
      <c r="K111" s="51">
        <v>4312889</v>
      </c>
      <c r="L111" s="51">
        <v>4379135</v>
      </c>
      <c r="M111" s="11"/>
      <c r="N111" s="51">
        <f t="shared" ref="N111:T111" si="103">SUM(N95,N110)</f>
        <v>1356150.25</v>
      </c>
      <c r="O111" s="51">
        <f t="shared" si="103"/>
        <v>1374225</v>
      </c>
      <c r="P111" s="51">
        <f t="shared" si="103"/>
        <v>1361091</v>
      </c>
      <c r="Q111" s="51">
        <f>F111</f>
        <v>1183929</v>
      </c>
      <c r="R111" s="51">
        <f t="shared" si="103"/>
        <v>1195334</v>
      </c>
      <c r="S111" s="51">
        <f t="shared" si="103"/>
        <v>2449311</v>
      </c>
      <c r="T111" s="51">
        <f t="shared" si="103"/>
        <v>2504341</v>
      </c>
      <c r="U111" s="51">
        <f t="shared" ref="U111" si="104">SUM(U95,U110)</f>
        <v>4090778</v>
      </c>
      <c r="V111" s="51">
        <f t="shared" ref="V111:AA111" si="105">SUM(V95,V110)</f>
        <v>4485932</v>
      </c>
      <c r="W111" s="51">
        <f t="shared" si="105"/>
        <v>4628626.0277500004</v>
      </c>
      <c r="X111" s="51">
        <f t="shared" si="105"/>
        <v>4823278</v>
      </c>
      <c r="Y111" s="51">
        <f t="shared" si="105"/>
        <v>4933164</v>
      </c>
      <c r="Z111" s="51">
        <f t="shared" si="105"/>
        <v>5013821</v>
      </c>
      <c r="AA111" s="51">
        <f t="shared" si="105"/>
        <v>5083102</v>
      </c>
      <c r="AB111" s="51">
        <f t="shared" ref="AB111" si="106">SUM(AB95,AB110)</f>
        <v>5172372</v>
      </c>
      <c r="AC111" s="51">
        <f t="shared" si="94"/>
        <v>5171451</v>
      </c>
      <c r="AD111" s="51">
        <f t="shared" ref="AD111:AG111" si="107">SUM(AD95,AD110)</f>
        <v>5262841</v>
      </c>
      <c r="AE111" s="51">
        <v>4928878</v>
      </c>
      <c r="AF111" s="51">
        <f t="shared" si="107"/>
        <v>4413599</v>
      </c>
      <c r="AG111" s="51">
        <f t="shared" si="107"/>
        <v>4340852</v>
      </c>
      <c r="AH111" s="51">
        <v>4377367</v>
      </c>
      <c r="AI111" s="51">
        <v>4338669</v>
      </c>
      <c r="AJ111" s="51">
        <v>4400937</v>
      </c>
      <c r="AK111" s="51">
        <v>4312889</v>
      </c>
      <c r="AL111" s="51">
        <v>4334970</v>
      </c>
      <c r="AM111" s="51">
        <v>4380389</v>
      </c>
    </row>
    <row r="112" spans="2:39" ht="15">
      <c r="B112" s="30"/>
      <c r="D112" s="46"/>
      <c r="E112" s="46"/>
      <c r="F112" s="46"/>
      <c r="G112" s="46"/>
      <c r="H112" s="46"/>
      <c r="I112" s="46"/>
      <c r="J112" s="46"/>
      <c r="K112" s="46"/>
      <c r="L112" s="46"/>
      <c r="M112" s="11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46"/>
      <c r="AM112" s="46"/>
    </row>
    <row r="113" spans="2:39" ht="15">
      <c r="B113" s="35" t="s">
        <v>47</v>
      </c>
      <c r="D113" s="46"/>
      <c r="E113" s="46"/>
      <c r="F113" s="46"/>
      <c r="G113" s="46"/>
      <c r="H113" s="46"/>
      <c r="I113" s="46"/>
      <c r="J113" s="46"/>
      <c r="K113" s="46"/>
      <c r="L113" s="46"/>
      <c r="M113" s="11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6"/>
      <c r="AL113" s="46"/>
      <c r="AM113" s="46"/>
    </row>
    <row r="114" spans="2:39" ht="15">
      <c r="B114" s="28" t="s">
        <v>16</v>
      </c>
      <c r="D114" s="46"/>
      <c r="E114" s="46"/>
      <c r="F114" s="46"/>
      <c r="G114" s="46"/>
      <c r="H114" s="46"/>
      <c r="I114" s="46"/>
      <c r="J114" s="46"/>
      <c r="K114" s="46"/>
      <c r="L114" s="46"/>
      <c r="M114" s="11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  <c r="AL114" s="46"/>
      <c r="AM114" s="46"/>
    </row>
    <row r="115" spans="2:39" ht="15">
      <c r="B115" s="32" t="s">
        <v>11</v>
      </c>
      <c r="D115" s="47">
        <v>53295</v>
      </c>
      <c r="E115" s="47">
        <v>50484</v>
      </c>
      <c r="F115" s="47">
        <v>57942</v>
      </c>
      <c r="G115" s="47">
        <v>89206</v>
      </c>
      <c r="H115" s="47">
        <v>139178</v>
      </c>
      <c r="I115" s="47">
        <v>148701</v>
      </c>
      <c r="J115" s="47">
        <v>131914</v>
      </c>
      <c r="K115" s="47">
        <v>148566</v>
      </c>
      <c r="L115" s="47">
        <v>150143</v>
      </c>
      <c r="M115" s="11"/>
      <c r="N115" s="47">
        <v>52459</v>
      </c>
      <c r="O115" s="47">
        <v>46882</v>
      </c>
      <c r="P115" s="47">
        <v>43592</v>
      </c>
      <c r="Q115" s="47">
        <f>F115</f>
        <v>57942</v>
      </c>
      <c r="R115" s="47">
        <v>66754</v>
      </c>
      <c r="S115" s="47">
        <v>59773</v>
      </c>
      <c r="T115" s="47">
        <v>61226</v>
      </c>
      <c r="U115" s="47">
        <f>G115</f>
        <v>89206</v>
      </c>
      <c r="V115" s="47">
        <v>112772</v>
      </c>
      <c r="W115" s="47">
        <v>108680.7677</v>
      </c>
      <c r="X115" s="47">
        <v>126153</v>
      </c>
      <c r="Y115" s="47">
        <f>H115</f>
        <v>139178</v>
      </c>
      <c r="Z115" s="47">
        <v>119297</v>
      </c>
      <c r="AA115" s="47">
        <v>122696</v>
      </c>
      <c r="AB115" s="47">
        <v>128333</v>
      </c>
      <c r="AC115" s="47">
        <f>I115</f>
        <v>148701</v>
      </c>
      <c r="AD115" s="47">
        <v>160561</v>
      </c>
      <c r="AE115" s="47">
        <v>127543</v>
      </c>
      <c r="AF115" s="47">
        <v>116705</v>
      </c>
      <c r="AG115" s="47">
        <v>131914</v>
      </c>
      <c r="AH115" s="47">
        <v>137031</v>
      </c>
      <c r="AI115" s="47">
        <v>127990</v>
      </c>
      <c r="AJ115" s="47">
        <v>143809</v>
      </c>
      <c r="AK115" s="47">
        <v>148566</v>
      </c>
      <c r="AL115" s="47">
        <v>146935</v>
      </c>
      <c r="AM115" s="47">
        <v>151841</v>
      </c>
    </row>
    <row r="116" spans="2:39" ht="15">
      <c r="B116" s="32" t="s">
        <v>282</v>
      </c>
      <c r="D116" s="47">
        <v>28283</v>
      </c>
      <c r="E116" s="47">
        <v>33051</v>
      </c>
      <c r="F116" s="47">
        <v>239467</v>
      </c>
      <c r="G116" s="47">
        <v>64047</v>
      </c>
      <c r="H116" s="47">
        <v>52973</v>
      </c>
      <c r="I116" s="47">
        <v>52205</v>
      </c>
      <c r="J116" s="47">
        <v>75897</v>
      </c>
      <c r="K116" s="47">
        <v>112332</v>
      </c>
      <c r="L116" s="47">
        <v>111041</v>
      </c>
      <c r="M116" s="11"/>
      <c r="N116" s="47">
        <v>29530</v>
      </c>
      <c r="O116" s="47">
        <v>41148</v>
      </c>
      <c r="P116" s="47">
        <v>28182</v>
      </c>
      <c r="Q116" s="47">
        <f>F116</f>
        <v>239467</v>
      </c>
      <c r="R116" s="47">
        <v>64863</v>
      </c>
      <c r="S116" s="47">
        <v>60208</v>
      </c>
      <c r="T116" s="47">
        <v>65913</v>
      </c>
      <c r="U116" s="47">
        <f>G116</f>
        <v>64047</v>
      </c>
      <c r="V116" s="47">
        <v>86698</v>
      </c>
      <c r="W116" s="47">
        <v>69062.216</v>
      </c>
      <c r="X116" s="47">
        <v>63477</v>
      </c>
      <c r="Y116" s="47">
        <f>H116</f>
        <v>52973</v>
      </c>
      <c r="Z116" s="47">
        <v>90479</v>
      </c>
      <c r="AA116" s="47">
        <v>56810</v>
      </c>
      <c r="AB116" s="47">
        <v>77414</v>
      </c>
      <c r="AC116" s="47">
        <f>I116</f>
        <v>52205</v>
      </c>
      <c r="AD116" s="47">
        <v>97921</v>
      </c>
      <c r="AE116" s="47">
        <v>75837</v>
      </c>
      <c r="AF116" s="47">
        <v>99719</v>
      </c>
      <c r="AG116" s="47">
        <v>75897</v>
      </c>
      <c r="AH116" s="47">
        <v>100691</v>
      </c>
      <c r="AI116" s="47">
        <v>76731</v>
      </c>
      <c r="AJ116" s="47">
        <v>89945</v>
      </c>
      <c r="AK116" s="47">
        <v>112332</v>
      </c>
      <c r="AL116" s="47">
        <v>91935</v>
      </c>
      <c r="AM116" s="47">
        <v>111041</v>
      </c>
    </row>
    <row r="117" spans="2:39" ht="15">
      <c r="B117" s="32" t="s">
        <v>35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2426</v>
      </c>
      <c r="K117" s="47">
        <v>2599</v>
      </c>
      <c r="L117" s="47">
        <v>3156</v>
      </c>
      <c r="M117" s="11"/>
      <c r="N117" s="47"/>
      <c r="O117" s="47"/>
      <c r="P117" s="47"/>
      <c r="Q117" s="47"/>
      <c r="R117" s="47"/>
      <c r="S117" s="47"/>
      <c r="T117" s="47"/>
      <c r="U117" s="47"/>
      <c r="V117" s="47">
        <v>0</v>
      </c>
      <c r="W117" s="47">
        <v>0</v>
      </c>
      <c r="X117" s="47">
        <v>0</v>
      </c>
      <c r="Y117" s="47">
        <v>0</v>
      </c>
      <c r="Z117" s="47">
        <v>0</v>
      </c>
      <c r="AA117" s="47">
        <v>0</v>
      </c>
      <c r="AB117" s="47">
        <v>0</v>
      </c>
      <c r="AC117" s="47">
        <v>0</v>
      </c>
      <c r="AD117" s="47">
        <v>0</v>
      </c>
      <c r="AE117" s="47">
        <v>786</v>
      </c>
      <c r="AF117" s="47">
        <v>984</v>
      </c>
      <c r="AG117" s="47">
        <v>2426</v>
      </c>
      <c r="AH117" s="47">
        <v>2217</v>
      </c>
      <c r="AI117" s="47">
        <v>2351</v>
      </c>
      <c r="AJ117" s="47">
        <v>2951</v>
      </c>
      <c r="AK117" s="47">
        <v>2599</v>
      </c>
      <c r="AL117" s="47">
        <v>2246</v>
      </c>
      <c r="AM117" s="47">
        <v>3156</v>
      </c>
    </row>
    <row r="118" spans="2:39" ht="15">
      <c r="B118" s="32" t="s">
        <v>247</v>
      </c>
      <c r="D118" s="47">
        <v>0</v>
      </c>
      <c r="E118" s="47">
        <v>1459</v>
      </c>
      <c r="F118" s="47">
        <v>42243</v>
      </c>
      <c r="G118" s="47">
        <v>64100</v>
      </c>
      <c r="H118" s="47">
        <v>76228</v>
      </c>
      <c r="I118" s="47">
        <v>81228</v>
      </c>
      <c r="J118" s="47">
        <v>66377</v>
      </c>
      <c r="K118" s="47">
        <v>78371</v>
      </c>
      <c r="L118" s="47">
        <v>81537</v>
      </c>
      <c r="M118" s="11"/>
      <c r="N118" s="47">
        <v>2253</v>
      </c>
      <c r="O118" s="47">
        <v>1516</v>
      </c>
      <c r="P118" s="47">
        <v>766</v>
      </c>
      <c r="Q118" s="47">
        <f>F118</f>
        <v>42243</v>
      </c>
      <c r="R118" s="47">
        <v>42140</v>
      </c>
      <c r="S118" s="47">
        <v>43842</v>
      </c>
      <c r="T118" s="47">
        <v>43317</v>
      </c>
      <c r="U118" s="47">
        <f>G118</f>
        <v>64100</v>
      </c>
      <c r="V118" s="47">
        <v>67503</v>
      </c>
      <c r="W118" s="47">
        <v>74957.710000000006</v>
      </c>
      <c r="X118" s="47">
        <v>76286</v>
      </c>
      <c r="Y118" s="47">
        <f>H118</f>
        <v>76228</v>
      </c>
      <c r="Z118" s="47">
        <v>82135</v>
      </c>
      <c r="AA118" s="47">
        <v>81759</v>
      </c>
      <c r="AB118" s="47">
        <v>79656</v>
      </c>
      <c r="AC118" s="47">
        <f>I118</f>
        <v>81228</v>
      </c>
      <c r="AD118" s="47">
        <v>83572</v>
      </c>
      <c r="AE118" s="47">
        <v>63526</v>
      </c>
      <c r="AF118" s="47">
        <v>65654</v>
      </c>
      <c r="AG118" s="47">
        <v>66377</v>
      </c>
      <c r="AH118" s="47">
        <v>69306</v>
      </c>
      <c r="AI118" s="47">
        <v>70547</v>
      </c>
      <c r="AJ118" s="47">
        <v>71533</v>
      </c>
      <c r="AK118" s="47">
        <v>78371</v>
      </c>
      <c r="AL118" s="47">
        <v>80641</v>
      </c>
      <c r="AM118" s="47">
        <v>81544</v>
      </c>
    </row>
    <row r="119" spans="2:39" ht="15">
      <c r="B119" s="16" t="s">
        <v>48</v>
      </c>
      <c r="D119" s="47">
        <v>12345</v>
      </c>
      <c r="E119" s="47">
        <v>14368</v>
      </c>
      <c r="F119" s="47">
        <v>15967</v>
      </c>
      <c r="G119" s="47">
        <v>37204</v>
      </c>
      <c r="H119" s="47">
        <v>70504</v>
      </c>
      <c r="I119" s="47">
        <v>74904</v>
      </c>
      <c r="J119" s="47">
        <v>57295</v>
      </c>
      <c r="K119" s="47">
        <v>66891</v>
      </c>
      <c r="L119" s="47">
        <v>77776</v>
      </c>
      <c r="M119" s="11"/>
      <c r="N119" s="47">
        <v>16915</v>
      </c>
      <c r="O119" s="47">
        <v>23367</v>
      </c>
      <c r="P119" s="47">
        <v>24545</v>
      </c>
      <c r="Q119" s="47">
        <f>F119</f>
        <v>15967</v>
      </c>
      <c r="R119" s="47">
        <v>20433</v>
      </c>
      <c r="S119" s="47">
        <v>26786</v>
      </c>
      <c r="T119" s="47">
        <v>31221</v>
      </c>
      <c r="U119" s="47">
        <f>G119</f>
        <v>37204</v>
      </c>
      <c r="V119" s="47">
        <v>51283</v>
      </c>
      <c r="W119" s="47">
        <v>63596.459000000003</v>
      </c>
      <c r="X119" s="47">
        <v>79917</v>
      </c>
      <c r="Y119" s="47">
        <f>H119</f>
        <v>70504</v>
      </c>
      <c r="Z119" s="47">
        <v>78227</v>
      </c>
      <c r="AA119" s="47">
        <v>92326</v>
      </c>
      <c r="AB119" s="47">
        <v>108397</v>
      </c>
      <c r="AC119" s="47">
        <f>I119</f>
        <v>74904</v>
      </c>
      <c r="AD119" s="47">
        <v>80054</v>
      </c>
      <c r="AE119" s="47">
        <v>78274</v>
      </c>
      <c r="AF119" s="47">
        <v>82570</v>
      </c>
      <c r="AG119" s="47">
        <v>57295</v>
      </c>
      <c r="AH119" s="47">
        <v>67562</v>
      </c>
      <c r="AI119" s="47">
        <v>79486</v>
      </c>
      <c r="AJ119" s="47">
        <v>90076</v>
      </c>
      <c r="AK119" s="47">
        <v>66891</v>
      </c>
      <c r="AL119" s="47">
        <v>79935</v>
      </c>
      <c r="AM119" s="47">
        <v>77776</v>
      </c>
    </row>
    <row r="120" spans="2:39" ht="15">
      <c r="B120" s="16" t="s">
        <v>49</v>
      </c>
      <c r="D120" s="47">
        <v>41471</v>
      </c>
      <c r="E120" s="47">
        <v>49343</v>
      </c>
      <c r="F120" s="47">
        <v>35650</v>
      </c>
      <c r="G120" s="47">
        <v>8820</v>
      </c>
      <c r="H120" s="47">
        <v>27316</v>
      </c>
      <c r="I120" s="47">
        <v>37288</v>
      </c>
      <c r="J120" s="47">
        <v>23818</v>
      </c>
      <c r="K120" s="47">
        <v>38519</v>
      </c>
      <c r="L120" s="47">
        <v>40255</v>
      </c>
      <c r="M120" s="11"/>
      <c r="N120" s="47">
        <v>57265</v>
      </c>
      <c r="O120" s="47">
        <v>66052</v>
      </c>
      <c r="P120" s="47">
        <v>40375</v>
      </c>
      <c r="Q120" s="47">
        <f>F120</f>
        <v>35650</v>
      </c>
      <c r="R120" s="47">
        <v>22593</v>
      </c>
      <c r="S120" s="47">
        <v>48674</v>
      </c>
      <c r="T120" s="47">
        <v>65594</v>
      </c>
      <c r="U120" s="47">
        <f>G120</f>
        <v>8820</v>
      </c>
      <c r="V120" s="47">
        <v>14064</v>
      </c>
      <c r="W120" s="47">
        <v>14187.063</v>
      </c>
      <c r="X120" s="47">
        <v>28359</v>
      </c>
      <c r="Y120" s="47">
        <f>H120</f>
        <v>27316</v>
      </c>
      <c r="Z120" s="47">
        <v>26157</v>
      </c>
      <c r="AA120" s="47">
        <v>28321</v>
      </c>
      <c r="AB120" s="47">
        <v>39986</v>
      </c>
      <c r="AC120" s="47">
        <f>I120</f>
        <v>37288</v>
      </c>
      <c r="AD120" s="47">
        <v>37836</v>
      </c>
      <c r="AE120" s="47">
        <v>16865</v>
      </c>
      <c r="AF120" s="47">
        <v>18890</v>
      </c>
      <c r="AG120" s="47">
        <v>23818</v>
      </c>
      <c r="AH120" s="47">
        <v>27702</v>
      </c>
      <c r="AI120" s="47">
        <v>31713</v>
      </c>
      <c r="AJ120" s="47">
        <v>39939</v>
      </c>
      <c r="AK120" s="47">
        <v>38519</v>
      </c>
      <c r="AL120" s="47">
        <v>43997</v>
      </c>
      <c r="AM120" s="47">
        <v>40255</v>
      </c>
    </row>
    <row r="121" spans="2:39" ht="15">
      <c r="B121" s="16" t="s">
        <v>59</v>
      </c>
      <c r="D121" s="47">
        <v>0</v>
      </c>
      <c r="E121" s="47">
        <v>0</v>
      </c>
      <c r="F121" s="47">
        <v>7455</v>
      </c>
      <c r="G121" s="47">
        <v>5680</v>
      </c>
      <c r="H121" s="47">
        <v>5861</v>
      </c>
      <c r="I121" s="47">
        <v>6644</v>
      </c>
      <c r="J121" s="47">
        <v>5617</v>
      </c>
      <c r="K121" s="47">
        <v>338</v>
      </c>
      <c r="L121" s="47">
        <v>102</v>
      </c>
      <c r="M121" s="11"/>
      <c r="N121" s="47">
        <v>0</v>
      </c>
      <c r="O121" s="47">
        <v>0</v>
      </c>
      <c r="P121" s="47">
        <v>3825</v>
      </c>
      <c r="Q121" s="47">
        <f>F121</f>
        <v>7455</v>
      </c>
      <c r="R121" s="47">
        <v>7592</v>
      </c>
      <c r="S121" s="47">
        <v>7277</v>
      </c>
      <c r="T121" s="47">
        <v>6685</v>
      </c>
      <c r="U121" s="47">
        <f>G121</f>
        <v>5680</v>
      </c>
      <c r="V121" s="47">
        <v>5740</v>
      </c>
      <c r="W121" s="47">
        <v>5632.13</v>
      </c>
      <c r="X121" s="47">
        <v>5572</v>
      </c>
      <c r="Y121" s="47">
        <f>H121</f>
        <v>5861</v>
      </c>
      <c r="Z121" s="47">
        <v>5564</v>
      </c>
      <c r="AA121" s="47">
        <v>4562</v>
      </c>
      <c r="AB121" s="47">
        <v>3449</v>
      </c>
      <c r="AC121" s="47">
        <f>I121</f>
        <v>6644</v>
      </c>
      <c r="AD121" s="47">
        <v>6854</v>
      </c>
      <c r="AE121" s="47">
        <v>7643</v>
      </c>
      <c r="AF121" s="47">
        <v>6960</v>
      </c>
      <c r="AG121" s="47">
        <v>5617</v>
      </c>
      <c r="AH121" s="47">
        <v>3941</v>
      </c>
      <c r="AI121" s="47">
        <v>2196</v>
      </c>
      <c r="AJ121" s="47">
        <v>463</v>
      </c>
      <c r="AK121" s="47">
        <v>338</v>
      </c>
      <c r="AL121" s="47">
        <v>153</v>
      </c>
      <c r="AM121" s="47">
        <v>102</v>
      </c>
    </row>
    <row r="122" spans="2:39" ht="15">
      <c r="B122" s="16" t="s">
        <v>261</v>
      </c>
      <c r="D122" s="47">
        <v>0</v>
      </c>
      <c r="E122" s="47">
        <v>0</v>
      </c>
      <c r="F122" s="47">
        <v>0</v>
      </c>
      <c r="G122" s="47">
        <v>13860</v>
      </c>
      <c r="H122" s="47">
        <v>28161</v>
      </c>
      <c r="I122" s="47">
        <v>36931</v>
      </c>
      <c r="J122" s="47">
        <v>38510</v>
      </c>
      <c r="K122" s="47">
        <v>30761</v>
      </c>
      <c r="L122" s="47">
        <v>68326</v>
      </c>
      <c r="M122" s="11"/>
      <c r="N122" s="47"/>
      <c r="O122" s="47"/>
      <c r="P122" s="47"/>
      <c r="Q122" s="47">
        <f>F122</f>
        <v>0</v>
      </c>
      <c r="R122" s="47">
        <v>0</v>
      </c>
      <c r="S122" s="47">
        <v>0</v>
      </c>
      <c r="T122" s="47">
        <v>0</v>
      </c>
      <c r="U122" s="47">
        <f>G122</f>
        <v>13860</v>
      </c>
      <c r="V122" s="47">
        <v>39109</v>
      </c>
      <c r="W122" s="47">
        <v>30986.475710000002</v>
      </c>
      <c r="X122" s="47">
        <v>30734</v>
      </c>
      <c r="Y122" s="47">
        <f>H122</f>
        <v>28161</v>
      </c>
      <c r="Z122" s="47">
        <v>35974</v>
      </c>
      <c r="AA122" s="47">
        <v>35624</v>
      </c>
      <c r="AB122" s="47">
        <v>37351</v>
      </c>
      <c r="AC122" s="47">
        <f>I122</f>
        <v>36931</v>
      </c>
      <c r="AD122" s="47">
        <v>32802</v>
      </c>
      <c r="AE122" s="47">
        <v>34106</v>
      </c>
      <c r="AF122" s="47">
        <v>37236</v>
      </c>
      <c r="AG122" s="47">
        <v>38510</v>
      </c>
      <c r="AH122" s="47">
        <v>36085</v>
      </c>
      <c r="AI122" s="47">
        <v>27518</v>
      </c>
      <c r="AJ122" s="47">
        <v>26888</v>
      </c>
      <c r="AK122" s="47">
        <v>30761</v>
      </c>
      <c r="AL122" s="47">
        <v>67186</v>
      </c>
      <c r="AM122" s="47">
        <v>68326</v>
      </c>
    </row>
    <row r="123" spans="2:39" ht="15">
      <c r="B123" s="16" t="s">
        <v>384</v>
      </c>
      <c r="D123" s="47"/>
      <c r="E123" s="47"/>
      <c r="F123" s="47"/>
      <c r="G123" s="47"/>
      <c r="H123" s="47"/>
      <c r="I123" s="47"/>
      <c r="J123" s="47">
        <v>59860</v>
      </c>
      <c r="K123" s="47">
        <v>2383</v>
      </c>
      <c r="L123" s="47">
        <v>2383</v>
      </c>
      <c r="M123" s="11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>
        <v>59860</v>
      </c>
      <c r="AH123" s="47">
        <v>61414</v>
      </c>
      <c r="AI123" s="47">
        <v>58369</v>
      </c>
      <c r="AJ123" s="47">
        <v>58369</v>
      </c>
      <c r="AK123" s="47">
        <v>2383</v>
      </c>
      <c r="AL123" s="47">
        <v>2383</v>
      </c>
      <c r="AM123" s="47">
        <v>2383</v>
      </c>
    </row>
    <row r="124" spans="2:39" ht="15">
      <c r="B124" s="16" t="s">
        <v>18</v>
      </c>
      <c r="D124" s="47">
        <v>41493</v>
      </c>
      <c r="E124" s="47">
        <v>26028</v>
      </c>
      <c r="F124" s="47">
        <v>28080</v>
      </c>
      <c r="G124" s="47">
        <v>55266</v>
      </c>
      <c r="H124" s="47">
        <v>34792</v>
      </c>
      <c r="I124" s="47">
        <v>36221</v>
      </c>
      <c r="J124" s="47">
        <v>0</v>
      </c>
      <c r="K124" s="47">
        <v>0</v>
      </c>
      <c r="L124" s="47">
        <v>0</v>
      </c>
      <c r="M124" s="11"/>
      <c r="N124" s="47">
        <v>5956</v>
      </c>
      <c r="O124" s="47">
        <v>5956</v>
      </c>
      <c r="P124" s="47">
        <v>-520</v>
      </c>
      <c r="Q124" s="47">
        <f>F124</f>
        <v>28080</v>
      </c>
      <c r="R124" s="47">
        <v>24315</v>
      </c>
      <c r="S124" s="47">
        <v>3297</v>
      </c>
      <c r="T124" s="47">
        <v>787</v>
      </c>
      <c r="U124" s="47">
        <f>G124</f>
        <v>55266</v>
      </c>
      <c r="V124" s="47">
        <v>55077</v>
      </c>
      <c r="W124" s="47">
        <v>20890.569000000003</v>
      </c>
      <c r="X124" s="47">
        <v>12743</v>
      </c>
      <c r="Y124" s="47">
        <f>H124</f>
        <v>34792</v>
      </c>
      <c r="Z124" s="47">
        <v>27646</v>
      </c>
      <c r="AA124" s="47">
        <v>3108</v>
      </c>
      <c r="AB124" s="47">
        <v>3108</v>
      </c>
      <c r="AC124" s="47">
        <f>I124</f>
        <v>36221</v>
      </c>
      <c r="AD124" s="47">
        <v>36221</v>
      </c>
      <c r="AE124" s="47">
        <v>0</v>
      </c>
      <c r="AF124" s="47">
        <v>0</v>
      </c>
      <c r="AG124" s="47">
        <v>0</v>
      </c>
      <c r="AH124" s="47">
        <v>0</v>
      </c>
      <c r="AI124" s="47">
        <v>0</v>
      </c>
      <c r="AJ124" s="47"/>
      <c r="AK124" s="47">
        <v>0</v>
      </c>
      <c r="AL124" s="47">
        <v>0</v>
      </c>
      <c r="AM124" s="47">
        <v>0</v>
      </c>
    </row>
    <row r="125" spans="2:39" ht="15">
      <c r="B125" s="16" t="s">
        <v>50</v>
      </c>
      <c r="D125" s="47">
        <v>672</v>
      </c>
      <c r="E125" s="47">
        <v>234</v>
      </c>
      <c r="F125" s="47">
        <v>957</v>
      </c>
      <c r="G125" s="47">
        <v>8300</v>
      </c>
      <c r="H125" s="47">
        <v>8420</v>
      </c>
      <c r="I125" s="47">
        <v>11453</v>
      </c>
      <c r="J125" s="47">
        <v>5710</v>
      </c>
      <c r="K125" s="47">
        <v>10346</v>
      </c>
      <c r="L125" s="47">
        <v>7558</v>
      </c>
      <c r="M125" s="11"/>
      <c r="N125" s="47">
        <v>285</v>
      </c>
      <c r="O125" s="47">
        <v>485</v>
      </c>
      <c r="P125" s="47">
        <v>430</v>
      </c>
      <c r="Q125" s="47">
        <f>F125</f>
        <v>957</v>
      </c>
      <c r="R125" s="47">
        <v>418</v>
      </c>
      <c r="S125" s="47">
        <v>543</v>
      </c>
      <c r="T125" s="47">
        <v>6476</v>
      </c>
      <c r="U125" s="47">
        <f>G125</f>
        <v>8300</v>
      </c>
      <c r="V125" s="47">
        <v>15530</v>
      </c>
      <c r="W125" s="47">
        <v>15525.320900000001</v>
      </c>
      <c r="X125" s="47">
        <v>16143</v>
      </c>
      <c r="Y125" s="47">
        <f>H125</f>
        <v>8420</v>
      </c>
      <c r="Z125" s="47">
        <v>12310</v>
      </c>
      <c r="AA125" s="47">
        <v>12622</v>
      </c>
      <c r="AB125" s="47">
        <v>10769</v>
      </c>
      <c r="AC125" s="47">
        <f>I125</f>
        <v>11453</v>
      </c>
      <c r="AD125" s="47">
        <v>13018</v>
      </c>
      <c r="AE125" s="47">
        <v>9257</v>
      </c>
      <c r="AF125" s="47">
        <v>8861</v>
      </c>
      <c r="AG125" s="47">
        <v>5710</v>
      </c>
      <c r="AH125" s="47">
        <v>8569</v>
      </c>
      <c r="AI125" s="47">
        <v>8109</v>
      </c>
      <c r="AJ125" s="47">
        <v>11019</v>
      </c>
      <c r="AK125" s="47">
        <v>10346</v>
      </c>
      <c r="AL125" s="47">
        <v>5796</v>
      </c>
      <c r="AM125" s="47">
        <v>7550</v>
      </c>
    </row>
    <row r="126" spans="2:39" ht="15">
      <c r="B126" s="33"/>
      <c r="D126" s="51">
        <f t="shared" ref="D126:G126" si="108">SUM(D115:D125)</f>
        <v>177559</v>
      </c>
      <c r="E126" s="51">
        <f t="shared" si="108"/>
        <v>174967</v>
      </c>
      <c r="F126" s="51">
        <f t="shared" si="108"/>
        <v>427761</v>
      </c>
      <c r="G126" s="51">
        <f t="shared" si="108"/>
        <v>346483</v>
      </c>
      <c r="H126" s="51">
        <f t="shared" ref="H126" si="109">SUM(H115:H125)</f>
        <v>443433</v>
      </c>
      <c r="I126" s="51">
        <f>SUM(I115:I125)</f>
        <v>485575</v>
      </c>
      <c r="J126" s="51">
        <f>SUM(J115:J125)</f>
        <v>467424</v>
      </c>
      <c r="K126" s="51">
        <v>491106</v>
      </c>
      <c r="L126" s="51">
        <v>542277</v>
      </c>
      <c r="M126" s="11"/>
      <c r="N126" s="51">
        <f t="shared" ref="N126:AA126" si="110">SUM(N115:N125)</f>
        <v>164663</v>
      </c>
      <c r="O126" s="51">
        <f t="shared" si="110"/>
        <v>185406</v>
      </c>
      <c r="P126" s="51">
        <f t="shared" si="110"/>
        <v>141195</v>
      </c>
      <c r="Q126" s="51">
        <f>F126</f>
        <v>427761</v>
      </c>
      <c r="R126" s="51">
        <f t="shared" si="110"/>
        <v>249108</v>
      </c>
      <c r="S126" s="51">
        <f t="shared" si="110"/>
        <v>250400</v>
      </c>
      <c r="T126" s="51">
        <f t="shared" si="110"/>
        <v>281219</v>
      </c>
      <c r="U126" s="51">
        <f t="shared" si="110"/>
        <v>346483</v>
      </c>
      <c r="V126" s="51">
        <f t="shared" si="110"/>
        <v>447776</v>
      </c>
      <c r="W126" s="51">
        <f t="shared" si="110"/>
        <v>403518.71131000004</v>
      </c>
      <c r="X126" s="51">
        <f t="shared" si="110"/>
        <v>439384</v>
      </c>
      <c r="Y126" s="51">
        <f t="shared" si="110"/>
        <v>443433</v>
      </c>
      <c r="Z126" s="51">
        <f t="shared" si="110"/>
        <v>477789</v>
      </c>
      <c r="AA126" s="51">
        <f t="shared" si="110"/>
        <v>437828</v>
      </c>
      <c r="AB126" s="51">
        <f>SUM(AB115:AB125)</f>
        <v>488463</v>
      </c>
      <c r="AC126" s="51">
        <f>I126</f>
        <v>485575</v>
      </c>
      <c r="AD126" s="51">
        <f>SUM(AD115:AD125)</f>
        <v>548839</v>
      </c>
      <c r="AE126" s="51">
        <v>413837</v>
      </c>
      <c r="AF126" s="51">
        <f>SUM(AF115:AF125)</f>
        <v>437579</v>
      </c>
      <c r="AG126" s="51">
        <f>SUM(AG115:AG125)</f>
        <v>467424</v>
      </c>
      <c r="AH126" s="51">
        <v>514518</v>
      </c>
      <c r="AI126" s="51">
        <v>485010</v>
      </c>
      <c r="AJ126" s="51">
        <v>534992</v>
      </c>
      <c r="AK126" s="51">
        <v>491106</v>
      </c>
      <c r="AL126" s="51">
        <v>521207</v>
      </c>
      <c r="AM126" s="51">
        <v>543974</v>
      </c>
    </row>
    <row r="127" spans="2:39" ht="15">
      <c r="B127" s="32" t="s">
        <v>360</v>
      </c>
      <c r="D127" s="47"/>
      <c r="E127" s="47"/>
      <c r="F127" s="47"/>
      <c r="G127" s="47"/>
      <c r="H127" s="47"/>
      <c r="I127" s="47"/>
      <c r="J127" s="47">
        <v>0</v>
      </c>
      <c r="K127" s="47">
        <v>0</v>
      </c>
      <c r="L127" s="47">
        <v>0</v>
      </c>
      <c r="M127" s="11"/>
      <c r="N127" s="47"/>
      <c r="O127" s="47"/>
      <c r="P127" s="47"/>
      <c r="Q127" s="47"/>
      <c r="R127" s="47"/>
      <c r="S127" s="47"/>
      <c r="T127" s="47"/>
      <c r="U127" s="47"/>
      <c r="V127" s="47">
        <v>0</v>
      </c>
      <c r="W127" s="47">
        <v>0</v>
      </c>
      <c r="X127" s="47">
        <v>0</v>
      </c>
      <c r="Y127" s="47">
        <v>0</v>
      </c>
      <c r="Z127" s="47">
        <v>0</v>
      </c>
      <c r="AA127" s="47">
        <v>0</v>
      </c>
      <c r="AB127" s="47">
        <v>0</v>
      </c>
      <c r="AC127" s="47">
        <v>0</v>
      </c>
      <c r="AD127" s="47">
        <v>0</v>
      </c>
      <c r="AE127" s="47">
        <v>435349</v>
      </c>
      <c r="AF127" s="47">
        <v>0</v>
      </c>
      <c r="AG127" s="47"/>
      <c r="AH127" s="47">
        <v>0</v>
      </c>
      <c r="AI127" s="47">
        <v>0</v>
      </c>
      <c r="AJ127" s="47"/>
      <c r="AK127" s="47">
        <v>0</v>
      </c>
      <c r="AL127" s="47">
        <v>0</v>
      </c>
      <c r="AM127" s="47">
        <v>0</v>
      </c>
    </row>
    <row r="128" spans="2:39" ht="15">
      <c r="B128" s="33" t="s">
        <v>51</v>
      </c>
      <c r="D128" s="51">
        <f t="shared" ref="D128" si="111">SUM(D126:D127)</f>
        <v>177559</v>
      </c>
      <c r="E128" s="51">
        <f t="shared" ref="E128" si="112">SUM(E126:E127)</f>
        <v>174967</v>
      </c>
      <c r="F128" s="51">
        <f t="shared" ref="F128" si="113">SUM(F126:F127)</f>
        <v>427761</v>
      </c>
      <c r="G128" s="51">
        <f t="shared" ref="G128" si="114">SUM(G126:G127)</f>
        <v>346483</v>
      </c>
      <c r="H128" s="51">
        <f t="shared" ref="H128" si="115">SUM(H126:H127)</f>
        <v>443433</v>
      </c>
      <c r="I128" s="51">
        <f t="shared" ref="I128:J128" si="116">SUM(I126:I127)</f>
        <v>485575</v>
      </c>
      <c r="J128" s="51">
        <f t="shared" si="116"/>
        <v>467424</v>
      </c>
      <c r="K128" s="51">
        <v>491106</v>
      </c>
      <c r="L128" s="51">
        <v>542277</v>
      </c>
      <c r="M128" s="11"/>
      <c r="N128" s="51">
        <f t="shared" ref="N128:U128" si="117">N126+N127</f>
        <v>164663</v>
      </c>
      <c r="O128" s="51">
        <f t="shared" si="117"/>
        <v>185406</v>
      </c>
      <c r="P128" s="51">
        <f t="shared" si="117"/>
        <v>141195</v>
      </c>
      <c r="Q128" s="51">
        <f t="shared" si="117"/>
        <v>427761</v>
      </c>
      <c r="R128" s="51">
        <f t="shared" si="117"/>
        <v>249108</v>
      </c>
      <c r="S128" s="51">
        <f t="shared" si="117"/>
        <v>250400</v>
      </c>
      <c r="T128" s="51">
        <f t="shared" si="117"/>
        <v>281219</v>
      </c>
      <c r="U128" s="51">
        <f t="shared" si="117"/>
        <v>346483</v>
      </c>
      <c r="V128" s="51">
        <f>V126+V127</f>
        <v>447776</v>
      </c>
      <c r="W128" s="51">
        <f t="shared" ref="W128:AD128" si="118">W126+W127</f>
        <v>403518.71131000004</v>
      </c>
      <c r="X128" s="51">
        <f t="shared" si="118"/>
        <v>439384</v>
      </c>
      <c r="Y128" s="51">
        <f t="shared" si="118"/>
        <v>443433</v>
      </c>
      <c r="Z128" s="51">
        <f t="shared" si="118"/>
        <v>477789</v>
      </c>
      <c r="AA128" s="51">
        <f t="shared" si="118"/>
        <v>437828</v>
      </c>
      <c r="AB128" s="51">
        <f t="shared" si="118"/>
        <v>488463</v>
      </c>
      <c r="AC128" s="51">
        <f t="shared" si="118"/>
        <v>485575</v>
      </c>
      <c r="AD128" s="51">
        <f t="shared" si="118"/>
        <v>548839</v>
      </c>
      <c r="AE128" s="51">
        <v>849186</v>
      </c>
      <c r="AF128" s="51">
        <f t="shared" ref="AF128:AG128" si="119">AF126+AF127</f>
        <v>437579</v>
      </c>
      <c r="AG128" s="51">
        <f t="shared" si="119"/>
        <v>467424</v>
      </c>
      <c r="AH128" s="51">
        <v>514518</v>
      </c>
      <c r="AI128" s="51">
        <v>485010</v>
      </c>
      <c r="AJ128" s="51">
        <v>534992</v>
      </c>
      <c r="AK128" s="51">
        <v>491106</v>
      </c>
      <c r="AL128" s="51">
        <v>521207</v>
      </c>
      <c r="AM128" s="51">
        <v>543974</v>
      </c>
    </row>
    <row r="129" spans="2:39" ht="15">
      <c r="B129" s="28" t="s">
        <v>39</v>
      </c>
      <c r="D129" s="46"/>
      <c r="E129" s="46"/>
      <c r="F129" s="46"/>
      <c r="G129" s="46"/>
      <c r="H129" s="46"/>
      <c r="I129" s="46"/>
      <c r="J129" s="46">
        <v>0</v>
      </c>
      <c r="K129" s="46"/>
      <c r="L129" s="46"/>
      <c r="M129" s="11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  <c r="AL129" s="46">
        <v>0</v>
      </c>
      <c r="AM129" s="46"/>
    </row>
    <row r="130" spans="2:39" ht="15">
      <c r="B130" s="32" t="s">
        <v>282</v>
      </c>
      <c r="D130" s="46">
        <v>147226</v>
      </c>
      <c r="E130" s="46">
        <v>157740</v>
      </c>
      <c r="F130" s="46">
        <v>2772</v>
      </c>
      <c r="G130" s="46">
        <v>1047261</v>
      </c>
      <c r="H130" s="46">
        <v>1150207</v>
      </c>
      <c r="I130" s="46">
        <v>1202660</v>
      </c>
      <c r="J130" s="46">
        <v>1347024</v>
      </c>
      <c r="K130" s="47">
        <v>1290122</v>
      </c>
      <c r="L130" s="47">
        <v>1253843</v>
      </c>
      <c r="M130" s="11"/>
      <c r="N130" s="46">
        <v>186897</v>
      </c>
      <c r="O130" s="46">
        <v>179825</v>
      </c>
      <c r="P130" s="46">
        <v>191666</v>
      </c>
      <c r="Q130" s="46">
        <f>F130</f>
        <v>2772</v>
      </c>
      <c r="R130" s="46">
        <v>165487</v>
      </c>
      <c r="S130" s="46">
        <v>220497</v>
      </c>
      <c r="T130" s="46">
        <v>192336</v>
      </c>
      <c r="U130" s="46">
        <f>G130</f>
        <v>1047261</v>
      </c>
      <c r="V130" s="46">
        <v>1102437</v>
      </c>
      <c r="W130" s="46">
        <v>1098007.3670000001</v>
      </c>
      <c r="X130" s="46">
        <v>1158679</v>
      </c>
      <c r="Y130" s="46">
        <f t="shared" ref="Y130:Y138" si="120">H130</f>
        <v>1150207</v>
      </c>
      <c r="Z130" s="47">
        <v>1142639</v>
      </c>
      <c r="AA130" s="47">
        <v>1213206</v>
      </c>
      <c r="AB130" s="47">
        <v>1210208</v>
      </c>
      <c r="AC130" s="47">
        <f t="shared" ref="AC130:AC139" si="121">I130</f>
        <v>1202660</v>
      </c>
      <c r="AD130" s="47">
        <v>1170357</v>
      </c>
      <c r="AE130" s="47">
        <v>1364845</v>
      </c>
      <c r="AF130" s="47">
        <v>1356412</v>
      </c>
      <c r="AG130" s="47">
        <v>1347024</v>
      </c>
      <c r="AH130" s="47">
        <v>1329427</v>
      </c>
      <c r="AI130" s="47">
        <v>1311259</v>
      </c>
      <c r="AJ130" s="47">
        <v>1300903</v>
      </c>
      <c r="AK130" s="47">
        <v>1290122</v>
      </c>
      <c r="AL130" s="47">
        <v>1273060</v>
      </c>
      <c r="AM130" s="47">
        <v>1253843</v>
      </c>
    </row>
    <row r="131" spans="2:39" ht="15">
      <c r="B131" s="32" t="s">
        <v>35</v>
      </c>
      <c r="D131" s="46"/>
      <c r="E131" s="46"/>
      <c r="F131" s="46"/>
      <c r="G131" s="46"/>
      <c r="H131" s="46">
        <v>2620</v>
      </c>
      <c r="I131" s="46">
        <v>0</v>
      </c>
      <c r="J131" s="46">
        <v>21430</v>
      </c>
      <c r="K131" s="47">
        <v>20361</v>
      </c>
      <c r="L131" s="47">
        <v>23145</v>
      </c>
      <c r="M131" s="11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>
        <v>2819</v>
      </c>
      <c r="Y131" s="46">
        <f t="shared" si="120"/>
        <v>2620</v>
      </c>
      <c r="Z131" s="47">
        <v>0</v>
      </c>
      <c r="AA131" s="47">
        <v>0</v>
      </c>
      <c r="AB131" s="47">
        <f t="shared" ref="AB131" si="122">M131</f>
        <v>0</v>
      </c>
      <c r="AC131" s="47">
        <f t="shared" si="121"/>
        <v>0</v>
      </c>
      <c r="AD131" s="47">
        <v>0</v>
      </c>
      <c r="AE131" s="47">
        <v>7336</v>
      </c>
      <c r="AF131" s="47">
        <v>8934</v>
      </c>
      <c r="AG131" s="47">
        <v>21430</v>
      </c>
      <c r="AH131" s="47">
        <v>19028</v>
      </c>
      <c r="AI131" s="47">
        <v>19592</v>
      </c>
      <c r="AJ131" s="47">
        <v>23611</v>
      </c>
      <c r="AK131" s="47">
        <v>20361</v>
      </c>
      <c r="AL131" s="47">
        <v>17038</v>
      </c>
      <c r="AM131" s="47">
        <v>23145</v>
      </c>
    </row>
    <row r="132" spans="2:39" ht="15">
      <c r="B132" s="32" t="s">
        <v>247</v>
      </c>
      <c r="D132" s="47">
        <v>0</v>
      </c>
      <c r="E132" s="47">
        <v>1812</v>
      </c>
      <c r="F132" s="47">
        <v>358437</v>
      </c>
      <c r="G132" s="46">
        <v>515208</v>
      </c>
      <c r="H132" s="46">
        <v>701049</v>
      </c>
      <c r="I132" s="46">
        <v>762274</v>
      </c>
      <c r="J132" s="46">
        <v>675457</v>
      </c>
      <c r="K132" s="47">
        <v>698427</v>
      </c>
      <c r="L132" s="47">
        <v>721584</v>
      </c>
      <c r="M132" s="11"/>
      <c r="N132" s="47">
        <v>5084</v>
      </c>
      <c r="O132" s="47">
        <v>5084</v>
      </c>
      <c r="P132" s="47">
        <v>5084</v>
      </c>
      <c r="Q132" s="47">
        <f>F132</f>
        <v>358437</v>
      </c>
      <c r="R132" s="47">
        <v>360640</v>
      </c>
      <c r="S132" s="47">
        <v>357585</v>
      </c>
      <c r="T132" s="47">
        <v>356733</v>
      </c>
      <c r="U132" s="47">
        <f>G132</f>
        <v>515208</v>
      </c>
      <c r="V132" s="47">
        <v>552211</v>
      </c>
      <c r="W132" s="46">
        <v>685181.63400000008</v>
      </c>
      <c r="X132" s="46">
        <v>683679</v>
      </c>
      <c r="Y132" s="46">
        <f t="shared" si="120"/>
        <v>701049</v>
      </c>
      <c r="Z132" s="47">
        <v>753505</v>
      </c>
      <c r="AA132" s="47">
        <v>761995</v>
      </c>
      <c r="AB132" s="47">
        <v>763127</v>
      </c>
      <c r="AC132" s="47">
        <f t="shared" si="121"/>
        <v>762274</v>
      </c>
      <c r="AD132" s="47">
        <v>789714</v>
      </c>
      <c r="AE132" s="47">
        <v>605525</v>
      </c>
      <c r="AF132" s="47">
        <v>676120</v>
      </c>
      <c r="AG132" s="47">
        <v>675457</v>
      </c>
      <c r="AH132" s="47">
        <v>696414</v>
      </c>
      <c r="AI132" s="47">
        <v>703827</v>
      </c>
      <c r="AJ132" s="47">
        <v>708009</v>
      </c>
      <c r="AK132" s="47">
        <v>698427</v>
      </c>
      <c r="AL132" s="47">
        <v>716416</v>
      </c>
      <c r="AM132" s="47">
        <v>721584</v>
      </c>
    </row>
    <row r="133" spans="2:39" ht="15">
      <c r="B133" s="32" t="s">
        <v>262</v>
      </c>
      <c r="D133" s="47">
        <v>0</v>
      </c>
      <c r="E133" s="47">
        <v>0</v>
      </c>
      <c r="F133" s="47">
        <v>0</v>
      </c>
      <c r="G133" s="46">
        <v>279962</v>
      </c>
      <c r="H133" s="46">
        <v>378586</v>
      </c>
      <c r="I133" s="46">
        <v>422171</v>
      </c>
      <c r="J133" s="46"/>
      <c r="K133" s="47">
        <v>0</v>
      </c>
      <c r="L133" s="47">
        <v>0</v>
      </c>
      <c r="M133" s="11"/>
      <c r="N133" s="47"/>
      <c r="O133" s="47"/>
      <c r="P133" s="47"/>
      <c r="Q133" s="47">
        <f>F133</f>
        <v>0</v>
      </c>
      <c r="R133" s="47">
        <v>0</v>
      </c>
      <c r="S133" s="47">
        <v>0</v>
      </c>
      <c r="T133" s="47">
        <v>0</v>
      </c>
      <c r="U133" s="47">
        <f>G133</f>
        <v>279962</v>
      </c>
      <c r="V133" s="47">
        <v>287647</v>
      </c>
      <c r="W133" s="46">
        <v>295552</v>
      </c>
      <c r="X133" s="46">
        <v>303654</v>
      </c>
      <c r="Y133" s="46">
        <f t="shared" si="120"/>
        <v>378586</v>
      </c>
      <c r="Z133" s="47">
        <v>389040</v>
      </c>
      <c r="AA133" s="47">
        <v>399784</v>
      </c>
      <c r="AB133" s="47">
        <v>410824</v>
      </c>
      <c r="AC133" s="47">
        <f t="shared" si="121"/>
        <v>422171</v>
      </c>
      <c r="AD133" s="47">
        <v>433603</v>
      </c>
      <c r="AE133" s="47">
        <v>78548</v>
      </c>
      <c r="AF133" s="47">
        <v>80778</v>
      </c>
      <c r="AG133" s="47">
        <v>0</v>
      </c>
      <c r="AH133" s="47">
        <v>0</v>
      </c>
      <c r="AI133" s="47">
        <v>0</v>
      </c>
      <c r="AJ133" s="47"/>
      <c r="AK133" s="47">
        <v>0</v>
      </c>
      <c r="AL133" s="47">
        <v>0</v>
      </c>
      <c r="AM133" s="47">
        <v>0</v>
      </c>
    </row>
    <row r="134" spans="2:39" ht="15">
      <c r="B134" s="16" t="s">
        <v>60</v>
      </c>
      <c r="D134" s="47"/>
      <c r="E134" s="47"/>
      <c r="F134" s="47"/>
      <c r="G134" s="46"/>
      <c r="H134" s="46">
        <v>9735</v>
      </c>
      <c r="I134" s="46">
        <v>4695</v>
      </c>
      <c r="J134" s="46">
        <v>649</v>
      </c>
      <c r="K134" s="47">
        <v>508</v>
      </c>
      <c r="L134" s="47">
        <v>508</v>
      </c>
      <c r="M134" s="11"/>
      <c r="O134" s="47"/>
      <c r="P134" s="47"/>
      <c r="Q134" s="47"/>
      <c r="R134" s="47"/>
      <c r="S134" s="47"/>
      <c r="T134" s="47"/>
      <c r="U134" s="47"/>
      <c r="V134" s="47"/>
      <c r="W134" s="46"/>
      <c r="X134" s="46">
        <v>8094</v>
      </c>
      <c r="Y134" s="46">
        <f t="shared" si="120"/>
        <v>9735</v>
      </c>
      <c r="Z134" s="47">
        <v>9088</v>
      </c>
      <c r="AA134" s="47">
        <v>9088</v>
      </c>
      <c r="AB134" s="47">
        <v>9088</v>
      </c>
      <c r="AC134" s="47">
        <f t="shared" si="121"/>
        <v>4695</v>
      </c>
      <c r="AD134" s="47">
        <v>3186</v>
      </c>
      <c r="AE134" s="47">
        <v>1798</v>
      </c>
      <c r="AF134" s="47">
        <v>930</v>
      </c>
      <c r="AG134" s="47">
        <v>649</v>
      </c>
      <c r="AH134" s="47">
        <v>648</v>
      </c>
      <c r="AI134" s="47">
        <v>649</v>
      </c>
      <c r="AJ134" s="47">
        <v>541</v>
      </c>
      <c r="AK134" s="47">
        <v>508</v>
      </c>
      <c r="AL134" s="47">
        <v>508</v>
      </c>
      <c r="AM134" s="47">
        <v>508</v>
      </c>
    </row>
    <row r="135" spans="2:39" ht="15">
      <c r="B135" s="32" t="s">
        <v>322</v>
      </c>
      <c r="D135" s="47">
        <v>0</v>
      </c>
      <c r="E135" s="47">
        <v>0</v>
      </c>
      <c r="F135" s="47">
        <v>18073</v>
      </c>
      <c r="G135" s="46">
        <v>12884</v>
      </c>
      <c r="H135" s="46">
        <v>84867</v>
      </c>
      <c r="I135" s="46">
        <v>99715</v>
      </c>
      <c r="J135" s="46">
        <v>77960</v>
      </c>
      <c r="K135" s="47">
        <v>74362</v>
      </c>
      <c r="L135" s="47">
        <v>114253</v>
      </c>
      <c r="M135" s="11"/>
      <c r="N135" s="47">
        <v>0</v>
      </c>
      <c r="O135" s="47">
        <v>0</v>
      </c>
      <c r="P135" s="47">
        <v>15462</v>
      </c>
      <c r="Q135" s="47">
        <f>F135</f>
        <v>18073</v>
      </c>
      <c r="R135" s="47">
        <v>16293</v>
      </c>
      <c r="S135" s="47">
        <v>14963</v>
      </c>
      <c r="T135" s="47">
        <v>13908</v>
      </c>
      <c r="U135" s="47">
        <f>G135</f>
        <v>12884</v>
      </c>
      <c r="V135" s="47">
        <v>12888</v>
      </c>
      <c r="W135" s="46">
        <v>11887</v>
      </c>
      <c r="X135" s="46">
        <v>10936</v>
      </c>
      <c r="Y135" s="46">
        <f t="shared" si="120"/>
        <v>84867</v>
      </c>
      <c r="Z135" s="47">
        <v>84841</v>
      </c>
      <c r="AA135" s="47">
        <v>82539</v>
      </c>
      <c r="AB135" s="47">
        <v>84666</v>
      </c>
      <c r="AC135" s="47">
        <f t="shared" si="121"/>
        <v>99715</v>
      </c>
      <c r="AD135" s="47">
        <v>105850</v>
      </c>
      <c r="AE135" s="47">
        <v>78411</v>
      </c>
      <c r="AF135" s="47">
        <v>78093</v>
      </c>
      <c r="AG135" s="47">
        <v>77960</v>
      </c>
      <c r="AH135" s="47">
        <v>77548</v>
      </c>
      <c r="AI135" s="47">
        <v>77394</v>
      </c>
      <c r="AJ135" s="47">
        <v>77019</v>
      </c>
      <c r="AK135" s="47">
        <v>74362</v>
      </c>
      <c r="AL135" s="47">
        <v>75530</v>
      </c>
      <c r="AM135" s="47">
        <v>114226</v>
      </c>
    </row>
    <row r="136" spans="2:39" ht="15">
      <c r="B136" s="16" t="s">
        <v>261</v>
      </c>
      <c r="D136" s="47">
        <v>0</v>
      </c>
      <c r="E136" s="47">
        <v>0</v>
      </c>
      <c r="F136" s="47">
        <v>0</v>
      </c>
      <c r="G136" s="46">
        <v>2000</v>
      </c>
      <c r="H136" s="46">
        <v>196865</v>
      </c>
      <c r="I136" s="46">
        <v>174778</v>
      </c>
      <c r="J136" s="46">
        <v>157546</v>
      </c>
      <c r="K136" s="47">
        <v>141639</v>
      </c>
      <c r="L136" s="47">
        <v>86199</v>
      </c>
      <c r="M136" s="11"/>
      <c r="N136" s="47"/>
      <c r="O136" s="47"/>
      <c r="P136" s="47"/>
      <c r="Q136" s="47">
        <f>F136</f>
        <v>0</v>
      </c>
      <c r="R136" s="47">
        <v>0</v>
      </c>
      <c r="S136" s="47">
        <v>0</v>
      </c>
      <c r="T136" s="47">
        <v>0</v>
      </c>
      <c r="U136" s="47">
        <f>G136</f>
        <v>2000</v>
      </c>
      <c r="V136" s="47">
        <v>158416</v>
      </c>
      <c r="W136" s="46">
        <v>183210.98858999999</v>
      </c>
      <c r="X136" s="46">
        <v>275043</v>
      </c>
      <c r="Y136" s="46">
        <f t="shared" si="120"/>
        <v>196865</v>
      </c>
      <c r="Z136" s="47">
        <v>162840</v>
      </c>
      <c r="AA136" s="47">
        <v>166238</v>
      </c>
      <c r="AB136" s="47">
        <v>169528</v>
      </c>
      <c r="AC136" s="47">
        <f t="shared" si="121"/>
        <v>174778</v>
      </c>
      <c r="AD136" s="47">
        <v>155860</v>
      </c>
      <c r="AE136" s="47">
        <v>155431</v>
      </c>
      <c r="AF136" s="47">
        <v>156223</v>
      </c>
      <c r="AG136" s="47">
        <v>157546</v>
      </c>
      <c r="AH136" s="47">
        <v>138398</v>
      </c>
      <c r="AI136" s="47">
        <v>140079</v>
      </c>
      <c r="AJ136" s="47">
        <v>141460</v>
      </c>
      <c r="AK136" s="47">
        <v>141639</v>
      </c>
      <c r="AL136" s="47">
        <v>84212</v>
      </c>
      <c r="AM136" s="47">
        <v>86199</v>
      </c>
    </row>
    <row r="137" spans="2:39" ht="15">
      <c r="B137" s="16" t="s">
        <v>52</v>
      </c>
      <c r="D137" s="47">
        <v>132465</v>
      </c>
      <c r="E137" s="47">
        <v>139016</v>
      </c>
      <c r="F137" s="47">
        <v>115825</v>
      </c>
      <c r="G137" s="46">
        <v>192471</v>
      </c>
      <c r="H137" s="46">
        <v>254591</v>
      </c>
      <c r="I137" s="46">
        <v>255417</v>
      </c>
      <c r="J137" s="46">
        <v>107212</v>
      </c>
      <c r="K137" s="47">
        <v>110241</v>
      </c>
      <c r="L137" s="47">
        <v>121562</v>
      </c>
      <c r="M137" s="11"/>
      <c r="N137" s="47">
        <v>136889</v>
      </c>
      <c r="O137" s="47">
        <v>134384</v>
      </c>
      <c r="P137" s="47">
        <v>101037</v>
      </c>
      <c r="Q137" s="47">
        <f>F137</f>
        <v>115825</v>
      </c>
      <c r="R137" s="47">
        <v>114848</v>
      </c>
      <c r="S137" s="47">
        <v>116854</v>
      </c>
      <c r="T137" s="47">
        <v>114099</v>
      </c>
      <c r="U137" s="47">
        <f>G137</f>
        <v>192471</v>
      </c>
      <c r="V137" s="47">
        <v>200863</v>
      </c>
      <c r="W137" s="46">
        <v>207833.182</v>
      </c>
      <c r="X137" s="46">
        <v>218427</v>
      </c>
      <c r="Y137" s="46">
        <f t="shared" si="120"/>
        <v>254591</v>
      </c>
      <c r="Z137" s="47">
        <v>261705</v>
      </c>
      <c r="AA137" s="47">
        <v>262287</v>
      </c>
      <c r="AB137" s="47">
        <v>264156</v>
      </c>
      <c r="AC137" s="47">
        <f t="shared" si="121"/>
        <v>255417</v>
      </c>
      <c r="AD137" s="47">
        <v>259392</v>
      </c>
      <c r="AE137" s="47">
        <v>195584</v>
      </c>
      <c r="AF137" s="47">
        <v>105131</v>
      </c>
      <c r="AG137" s="47">
        <v>107212</v>
      </c>
      <c r="AH137" s="47">
        <v>107139</v>
      </c>
      <c r="AI137" s="47">
        <v>111071</v>
      </c>
      <c r="AJ137" s="47">
        <v>113919</v>
      </c>
      <c r="AK137" s="47">
        <v>110241</v>
      </c>
      <c r="AL137" s="47">
        <v>126935</v>
      </c>
      <c r="AM137" s="47">
        <v>121562</v>
      </c>
    </row>
    <row r="138" spans="2:39" ht="15">
      <c r="B138" s="16" t="s">
        <v>53</v>
      </c>
      <c r="D138" s="47">
        <v>0</v>
      </c>
      <c r="E138" s="47">
        <v>0</v>
      </c>
      <c r="F138" s="47">
        <v>0</v>
      </c>
      <c r="G138" s="46">
        <v>11344</v>
      </c>
      <c r="H138" s="84">
        <v>8589</v>
      </c>
      <c r="I138" s="84">
        <v>9942</v>
      </c>
      <c r="J138" s="84">
        <v>9725</v>
      </c>
      <c r="K138" s="47">
        <v>8549</v>
      </c>
      <c r="L138" s="47">
        <v>8430</v>
      </c>
      <c r="M138" s="11"/>
      <c r="N138" s="47">
        <v>448</v>
      </c>
      <c r="O138" s="47">
        <v>880</v>
      </c>
      <c r="P138" s="47">
        <v>1407</v>
      </c>
      <c r="Q138" s="47">
        <f>F138</f>
        <v>0</v>
      </c>
      <c r="R138" s="47">
        <v>1443</v>
      </c>
      <c r="S138" s="47">
        <v>3669</v>
      </c>
      <c r="T138" s="47">
        <v>14421</v>
      </c>
      <c r="U138" s="47">
        <f>G138</f>
        <v>11344</v>
      </c>
      <c r="V138" s="47">
        <v>12526</v>
      </c>
      <c r="W138" s="46">
        <v>9556.2829899999997</v>
      </c>
      <c r="X138" s="84">
        <v>8858</v>
      </c>
      <c r="Y138" s="84">
        <f t="shared" si="120"/>
        <v>8589</v>
      </c>
      <c r="Z138" s="47">
        <v>6500</v>
      </c>
      <c r="AA138" s="47">
        <v>8775</v>
      </c>
      <c r="AB138" s="47">
        <v>9106</v>
      </c>
      <c r="AC138" s="47">
        <f t="shared" si="121"/>
        <v>9942</v>
      </c>
      <c r="AD138" s="47">
        <v>10232</v>
      </c>
      <c r="AE138" s="47">
        <v>11807</v>
      </c>
      <c r="AF138" s="47">
        <v>12058</v>
      </c>
      <c r="AG138" s="47">
        <v>9725</v>
      </c>
      <c r="AH138" s="47">
        <v>9230</v>
      </c>
      <c r="AI138" s="47">
        <v>8756</v>
      </c>
      <c r="AJ138" s="47">
        <v>7801</v>
      </c>
      <c r="AK138" s="47">
        <v>8549</v>
      </c>
      <c r="AL138" s="47">
        <v>8364</v>
      </c>
      <c r="AM138" s="47">
        <v>8060</v>
      </c>
    </row>
    <row r="139" spans="2:39" ht="15">
      <c r="B139" s="33" t="s">
        <v>54</v>
      </c>
      <c r="D139" s="51">
        <f t="shared" ref="D139:G139" si="123">SUM(D130:D138)</f>
        <v>279691</v>
      </c>
      <c r="E139" s="51">
        <f t="shared" si="123"/>
        <v>298568</v>
      </c>
      <c r="F139" s="51">
        <f t="shared" si="123"/>
        <v>495107</v>
      </c>
      <c r="G139" s="51">
        <f t="shared" si="123"/>
        <v>2061130</v>
      </c>
      <c r="H139" s="51">
        <f>SUM(H130:H138)</f>
        <v>2787109</v>
      </c>
      <c r="I139" s="51">
        <f>SUM(I130:I138)</f>
        <v>2931652</v>
      </c>
      <c r="J139" s="51">
        <f>SUM(J130:J138)</f>
        <v>2397003</v>
      </c>
      <c r="K139" s="51">
        <v>2344209</v>
      </c>
      <c r="L139" s="51">
        <v>2329524</v>
      </c>
      <c r="M139" s="11"/>
      <c r="N139" s="51">
        <f t="shared" ref="N139:V139" si="124">SUM(N130:N138)</f>
        <v>329318</v>
      </c>
      <c r="O139" s="51">
        <f t="shared" si="124"/>
        <v>320173</v>
      </c>
      <c r="P139" s="51">
        <f t="shared" si="124"/>
        <v>314656</v>
      </c>
      <c r="Q139" s="51">
        <f>F139</f>
        <v>495107</v>
      </c>
      <c r="R139" s="51">
        <f t="shared" si="124"/>
        <v>658711</v>
      </c>
      <c r="S139" s="51">
        <f t="shared" si="124"/>
        <v>713568</v>
      </c>
      <c r="T139" s="51">
        <f t="shared" si="124"/>
        <v>691497</v>
      </c>
      <c r="U139" s="51">
        <f t="shared" si="124"/>
        <v>2061130</v>
      </c>
      <c r="V139" s="51">
        <f t="shared" si="124"/>
        <v>2326988</v>
      </c>
      <c r="W139" s="51">
        <f t="shared" ref="W139:AB139" si="125">SUM(W130:W138)</f>
        <v>2491228.4545800006</v>
      </c>
      <c r="X139" s="51">
        <f t="shared" si="125"/>
        <v>2670189</v>
      </c>
      <c r="Y139" s="51">
        <f t="shared" si="125"/>
        <v>2787109</v>
      </c>
      <c r="Z139" s="51">
        <f t="shared" si="125"/>
        <v>2810158</v>
      </c>
      <c r="AA139" s="51">
        <f t="shared" si="125"/>
        <v>2903912</v>
      </c>
      <c r="AB139" s="51">
        <f t="shared" si="125"/>
        <v>2920703</v>
      </c>
      <c r="AC139" s="51">
        <f t="shared" si="121"/>
        <v>2931652</v>
      </c>
      <c r="AD139" s="51">
        <f>SUM(AD130:AD138)</f>
        <v>2928194</v>
      </c>
      <c r="AE139" s="51">
        <v>2499285</v>
      </c>
      <c r="AF139" s="51">
        <f>SUM(AF130:AF138)</f>
        <v>2474679</v>
      </c>
      <c r="AG139" s="51">
        <f>SUM(AG130:AG138)</f>
        <v>2397003</v>
      </c>
      <c r="AH139" s="51">
        <v>2377832</v>
      </c>
      <c r="AI139" s="51">
        <v>2372627</v>
      </c>
      <c r="AJ139" s="51">
        <v>2373263</v>
      </c>
      <c r="AK139" s="51">
        <v>2344209</v>
      </c>
      <c r="AL139" s="51">
        <v>2302063</v>
      </c>
      <c r="AM139" s="51">
        <v>2329127</v>
      </c>
    </row>
    <row r="140" spans="2:39" ht="15">
      <c r="B140" s="35" t="s">
        <v>55</v>
      </c>
      <c r="D140" s="46"/>
      <c r="E140" s="46"/>
      <c r="F140" s="46"/>
      <c r="G140" s="46"/>
      <c r="H140" s="46"/>
      <c r="I140" s="46"/>
      <c r="J140" s="46">
        <v>0</v>
      </c>
      <c r="K140" s="46"/>
      <c r="L140" s="46"/>
      <c r="M140" s="11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  <c r="AL140" s="46"/>
      <c r="AM140" s="46"/>
    </row>
    <row r="141" spans="2:39" ht="15">
      <c r="B141" s="32" t="s">
        <v>17</v>
      </c>
      <c r="D141" s="47">
        <v>351045</v>
      </c>
      <c r="E141" s="47">
        <v>351045</v>
      </c>
      <c r="F141" s="47">
        <v>131837</v>
      </c>
      <c r="G141" s="47">
        <v>1301019</v>
      </c>
      <c r="H141" s="46">
        <v>1301019</v>
      </c>
      <c r="I141" s="46">
        <v>1301019</v>
      </c>
      <c r="J141" s="46">
        <v>1301019</v>
      </c>
      <c r="K141" s="47">
        <v>1301019</v>
      </c>
      <c r="L141" s="47">
        <v>1301019</v>
      </c>
      <c r="M141" s="11"/>
      <c r="N141" s="47">
        <v>351045</v>
      </c>
      <c r="O141" s="47">
        <v>351045</v>
      </c>
      <c r="P141" s="47">
        <v>351045</v>
      </c>
      <c r="Q141" s="47">
        <f t="shared" ref="Q141:Q146" si="126">F141</f>
        <v>131837</v>
      </c>
      <c r="R141" s="47">
        <v>131837</v>
      </c>
      <c r="S141" s="47">
        <v>1273645</v>
      </c>
      <c r="T141" s="47">
        <v>1273477</v>
      </c>
      <c r="U141" s="47">
        <f>G141</f>
        <v>1301019</v>
      </c>
      <c r="V141" s="47">
        <v>1301019</v>
      </c>
      <c r="W141" s="46">
        <v>1301018.9999999995</v>
      </c>
      <c r="X141" s="46">
        <v>1301019</v>
      </c>
      <c r="Y141" s="46">
        <f>H141</f>
        <v>1301019</v>
      </c>
      <c r="Z141" s="47">
        <v>1301019</v>
      </c>
      <c r="AA141" s="47">
        <v>1301019</v>
      </c>
      <c r="AB141" s="47">
        <v>1301019</v>
      </c>
      <c r="AC141" s="47">
        <f t="shared" ref="AC141:AC149" si="127">I141</f>
        <v>1301019</v>
      </c>
      <c r="AD141" s="47">
        <v>1301019</v>
      </c>
      <c r="AE141" s="47">
        <v>1301019</v>
      </c>
      <c r="AF141" s="47">
        <v>1301019</v>
      </c>
      <c r="AG141" s="47">
        <v>1301019</v>
      </c>
      <c r="AH141" s="47">
        <v>1301019</v>
      </c>
      <c r="AI141" s="47">
        <v>1301019</v>
      </c>
      <c r="AJ141" s="47">
        <v>1301019</v>
      </c>
      <c r="AK141" s="47">
        <v>1301019</v>
      </c>
      <c r="AL141" s="47">
        <v>1301019</v>
      </c>
      <c r="AM141" s="47">
        <v>1301019</v>
      </c>
    </row>
    <row r="142" spans="2:39" ht="15">
      <c r="B142" s="32" t="s">
        <v>409</v>
      </c>
      <c r="D142" s="47">
        <v>0</v>
      </c>
      <c r="E142" s="47">
        <v>0</v>
      </c>
      <c r="F142" s="47">
        <v>0</v>
      </c>
      <c r="G142" s="47">
        <v>378944</v>
      </c>
      <c r="H142" s="46">
        <v>390648</v>
      </c>
      <c r="I142" s="46">
        <v>376142</v>
      </c>
      <c r="J142" s="46">
        <v>186035</v>
      </c>
      <c r="K142" s="47">
        <v>140898</v>
      </c>
      <c r="L142" s="47">
        <v>219222</v>
      </c>
      <c r="M142" s="11"/>
      <c r="N142" s="47">
        <v>0</v>
      </c>
      <c r="O142" s="47">
        <v>0</v>
      </c>
      <c r="P142" s="47">
        <v>0</v>
      </c>
      <c r="Q142" s="47">
        <f t="shared" si="126"/>
        <v>0</v>
      </c>
      <c r="R142" s="47">
        <v>0</v>
      </c>
      <c r="S142" s="47">
        <v>2796</v>
      </c>
      <c r="T142" s="47">
        <v>5612</v>
      </c>
      <c r="U142" s="47">
        <f>G142</f>
        <v>378944</v>
      </c>
      <c r="V142" s="47">
        <v>381830</v>
      </c>
      <c r="W142" s="46">
        <v>384748</v>
      </c>
      <c r="X142" s="46">
        <v>387698</v>
      </c>
      <c r="Y142" s="46">
        <f>H142</f>
        <v>390648</v>
      </c>
      <c r="Z142" s="47">
        <v>393534</v>
      </c>
      <c r="AA142" s="47">
        <v>370242</v>
      </c>
      <c r="AB142" s="47">
        <v>373192</v>
      </c>
      <c r="AC142" s="47">
        <f t="shared" si="127"/>
        <v>376142</v>
      </c>
      <c r="AD142" s="47">
        <v>379060</v>
      </c>
      <c r="AE142" s="47">
        <v>380925</v>
      </c>
      <c r="AF142" s="47">
        <v>243467</v>
      </c>
      <c r="AG142" s="47">
        <v>186035</v>
      </c>
      <c r="AH142" s="47">
        <v>183915</v>
      </c>
      <c r="AI142" s="47">
        <v>200881</v>
      </c>
      <c r="AJ142" s="47">
        <v>202951</v>
      </c>
      <c r="AK142" s="47">
        <v>140898</v>
      </c>
      <c r="AL142" s="47">
        <f>141692+33205</f>
        <v>174897</v>
      </c>
      <c r="AM142" s="47">
        <v>219222</v>
      </c>
    </row>
    <row r="143" spans="2:39" ht="15">
      <c r="B143" s="16" t="s">
        <v>323</v>
      </c>
      <c r="D143" s="47">
        <v>-31050</v>
      </c>
      <c r="E143" s="47">
        <v>-31050</v>
      </c>
      <c r="F143" s="47">
        <v>0</v>
      </c>
      <c r="G143" s="47">
        <v>239725</v>
      </c>
      <c r="H143" s="46">
        <v>306120</v>
      </c>
      <c r="I143" s="46">
        <v>397054</v>
      </c>
      <c r="J143" s="46">
        <v>57875</v>
      </c>
      <c r="K143" s="47">
        <v>90659</v>
      </c>
      <c r="L143" s="47">
        <v>90367.999999999985</v>
      </c>
      <c r="M143" s="11"/>
      <c r="N143" s="47">
        <v>-31050</v>
      </c>
      <c r="O143" s="47">
        <v>-31050</v>
      </c>
      <c r="P143" s="47">
        <v>-31050</v>
      </c>
      <c r="Q143" s="47">
        <f t="shared" si="126"/>
        <v>0</v>
      </c>
      <c r="R143" s="47">
        <v>0</v>
      </c>
      <c r="S143" s="47">
        <v>0</v>
      </c>
      <c r="T143" s="47">
        <v>0</v>
      </c>
      <c r="U143" s="47">
        <f>G143</f>
        <v>239725</v>
      </c>
      <c r="V143" s="47">
        <f>239725+26585</f>
        <v>266310</v>
      </c>
      <c r="W143" s="46">
        <v>295531.46000000008</v>
      </c>
      <c r="X143" s="84">
        <f>239725+89531</f>
        <v>329256</v>
      </c>
      <c r="Y143" s="46">
        <f>H143</f>
        <v>306120</v>
      </c>
      <c r="Z143" s="47">
        <f>306120+27213</f>
        <v>333333</v>
      </c>
      <c r="AA143" s="47">
        <v>371425</v>
      </c>
      <c r="AB143" s="47">
        <v>399973</v>
      </c>
      <c r="AC143" s="47">
        <f t="shared" si="127"/>
        <v>397054</v>
      </c>
      <c r="AD143" s="47">
        <v>439237</v>
      </c>
      <c r="AE143" s="47">
        <v>-25594</v>
      </c>
      <c r="AF143" s="47">
        <v>49605</v>
      </c>
      <c r="AG143" s="47">
        <v>57875</v>
      </c>
      <c r="AH143" s="47">
        <v>57875</v>
      </c>
      <c r="AI143" s="47">
        <v>41538</v>
      </c>
      <c r="AJ143" s="47">
        <v>41537</v>
      </c>
      <c r="AK143" s="47">
        <v>90659</v>
      </c>
      <c r="AL143" s="47">
        <v>90659</v>
      </c>
      <c r="AM143" s="47">
        <v>90367.999999999985</v>
      </c>
    </row>
    <row r="144" spans="2:39" ht="15">
      <c r="B144" s="32" t="s">
        <v>258</v>
      </c>
      <c r="D144" s="47">
        <v>60125</v>
      </c>
      <c r="E144" s="47">
        <v>57613</v>
      </c>
      <c r="F144" s="47">
        <v>0</v>
      </c>
      <c r="G144" s="47">
        <v>0</v>
      </c>
      <c r="H144" s="46">
        <v>-1962</v>
      </c>
      <c r="I144" s="46">
        <v>-1962</v>
      </c>
      <c r="J144" s="46">
        <v>-16302</v>
      </c>
      <c r="K144" s="47">
        <v>-6303</v>
      </c>
      <c r="L144" s="47">
        <v>-12377</v>
      </c>
      <c r="M144" s="11"/>
      <c r="N144" s="47">
        <v>56984</v>
      </c>
      <c r="O144" s="47">
        <v>56357</v>
      </c>
      <c r="P144" s="47">
        <v>55728</v>
      </c>
      <c r="Q144" s="47">
        <f t="shared" si="126"/>
        <v>0</v>
      </c>
      <c r="R144" s="47">
        <v>0</v>
      </c>
      <c r="S144" s="47">
        <v>0</v>
      </c>
      <c r="T144" s="47">
        <v>0</v>
      </c>
      <c r="U144" s="47">
        <f>G144</f>
        <v>0</v>
      </c>
      <c r="V144" s="47">
        <v>0</v>
      </c>
      <c r="W144" s="47">
        <v>0</v>
      </c>
      <c r="X144" s="47">
        <v>0</v>
      </c>
      <c r="Y144" s="46">
        <f>H144</f>
        <v>-1962</v>
      </c>
      <c r="Z144" s="47">
        <v>-1962</v>
      </c>
      <c r="AA144" s="47">
        <v>-1962</v>
      </c>
      <c r="AB144" s="47">
        <v>-1962</v>
      </c>
      <c r="AC144" s="47">
        <f t="shared" si="127"/>
        <v>-1962</v>
      </c>
      <c r="AD144" s="47">
        <v>-1962</v>
      </c>
      <c r="AE144" s="47">
        <v>-15801</v>
      </c>
      <c r="AF144" s="47">
        <v>-30119</v>
      </c>
      <c r="AG144" s="47">
        <v>-16302</v>
      </c>
      <c r="AH144" s="47">
        <v>-4934</v>
      </c>
      <c r="AI144" s="47">
        <v>-13978</v>
      </c>
      <c r="AJ144" s="47">
        <v>-2423</v>
      </c>
      <c r="AK144" s="47">
        <v>-6303</v>
      </c>
      <c r="AL144" s="47">
        <v>-7577</v>
      </c>
      <c r="AM144" s="47">
        <v>-12377</v>
      </c>
    </row>
    <row r="145" spans="2:39" ht="15">
      <c r="B145" s="32" t="s">
        <v>56</v>
      </c>
      <c r="D145" s="47">
        <v>360976</v>
      </c>
      <c r="E145" s="47">
        <v>469164</v>
      </c>
      <c r="F145" s="47">
        <v>129224</v>
      </c>
      <c r="G145" s="47">
        <v>-279962</v>
      </c>
      <c r="H145" s="84">
        <v>-378334</v>
      </c>
      <c r="I145" s="84">
        <v>-417112</v>
      </c>
      <c r="J145" s="84">
        <v>-80192</v>
      </c>
      <c r="K145" s="47">
        <v>-61785</v>
      </c>
      <c r="L145" s="47">
        <v>-105414</v>
      </c>
      <c r="M145" s="11"/>
      <c r="N145" s="47">
        <v>485190.25</v>
      </c>
      <c r="O145" s="47">
        <v>492294</v>
      </c>
      <c r="P145" s="47">
        <v>529517</v>
      </c>
      <c r="Q145" s="47">
        <f t="shared" si="126"/>
        <v>129224</v>
      </c>
      <c r="R145" s="47">
        <v>155678</v>
      </c>
      <c r="S145" s="47">
        <v>208902.00000000003</v>
      </c>
      <c r="T145" s="47">
        <v>252536.00000000003</v>
      </c>
      <c r="U145" s="47">
        <f>G145</f>
        <v>-279962</v>
      </c>
      <c r="V145" s="47">
        <v>-291524</v>
      </c>
      <c r="W145" s="46">
        <v>-305802</v>
      </c>
      <c r="X145" s="46">
        <v>-378789</v>
      </c>
      <c r="Y145" s="84">
        <f>H145</f>
        <v>-378334</v>
      </c>
      <c r="Z145" s="47">
        <v>-388393.23191042372</v>
      </c>
      <c r="AA145" s="47">
        <v>-393373</v>
      </c>
      <c r="AB145" s="47">
        <v>-409954</v>
      </c>
      <c r="AC145" s="47">
        <f t="shared" si="127"/>
        <v>-417112</v>
      </c>
      <c r="AD145" s="47">
        <v>-435645</v>
      </c>
      <c r="AE145" s="47">
        <v>-88572</v>
      </c>
      <c r="AF145" s="47">
        <v>-90705</v>
      </c>
      <c r="AG145" s="47">
        <v>-80192</v>
      </c>
      <c r="AH145" s="47">
        <v>-83235</v>
      </c>
      <c r="AI145" s="47">
        <v>-77667</v>
      </c>
      <c r="AJ145" s="47">
        <v>-80269</v>
      </c>
      <c r="AK145" s="47">
        <v>-61785</v>
      </c>
      <c r="AL145" s="47">
        <v>-60219</v>
      </c>
      <c r="AM145" s="47">
        <v>-105414</v>
      </c>
    </row>
    <row r="146" spans="2:39" ht="15">
      <c r="B146" s="33" t="s">
        <v>57</v>
      </c>
      <c r="D146" s="51">
        <f t="shared" ref="D146:J146" si="128">SUM(D141:D145)</f>
        <v>741096</v>
      </c>
      <c r="E146" s="51">
        <f t="shared" si="128"/>
        <v>846772</v>
      </c>
      <c r="F146" s="51">
        <f t="shared" si="128"/>
        <v>261061</v>
      </c>
      <c r="G146" s="51">
        <f t="shared" si="128"/>
        <v>1639726</v>
      </c>
      <c r="H146" s="51">
        <f t="shared" si="128"/>
        <v>1617491</v>
      </c>
      <c r="I146" s="51">
        <f t="shared" si="128"/>
        <v>1655141</v>
      </c>
      <c r="J146" s="51">
        <f t="shared" si="128"/>
        <v>1448435</v>
      </c>
      <c r="K146" s="51">
        <v>1464488</v>
      </c>
      <c r="L146" s="51">
        <v>1492818</v>
      </c>
      <c r="M146" s="11"/>
      <c r="N146" s="51">
        <f>SUM(N141:N145)</f>
        <v>862169.25</v>
      </c>
      <c r="O146" s="51">
        <f>SUM(O141:O145)</f>
        <v>868646</v>
      </c>
      <c r="P146" s="51">
        <f>SUM(P141:P145)</f>
        <v>905240</v>
      </c>
      <c r="Q146" s="51">
        <f t="shared" si="126"/>
        <v>261061</v>
      </c>
      <c r="R146" s="51">
        <f t="shared" ref="R146:AB146" si="129">SUM(R141:R145)</f>
        <v>287515</v>
      </c>
      <c r="S146" s="51">
        <f t="shared" si="129"/>
        <v>1485343</v>
      </c>
      <c r="T146" s="51">
        <f t="shared" si="129"/>
        <v>1531625</v>
      </c>
      <c r="U146" s="51">
        <f t="shared" si="129"/>
        <v>1639726</v>
      </c>
      <c r="V146" s="51">
        <f t="shared" si="129"/>
        <v>1657635</v>
      </c>
      <c r="W146" s="51">
        <f t="shared" si="129"/>
        <v>1675496.4599999995</v>
      </c>
      <c r="X146" s="51">
        <f t="shared" si="129"/>
        <v>1639184</v>
      </c>
      <c r="Y146" s="51">
        <f t="shared" si="129"/>
        <v>1617491</v>
      </c>
      <c r="Z146" s="51">
        <f t="shared" si="129"/>
        <v>1637530.7680895762</v>
      </c>
      <c r="AA146" s="51">
        <f t="shared" si="129"/>
        <v>1647351</v>
      </c>
      <c r="AB146" s="51">
        <f t="shared" si="129"/>
        <v>1662268</v>
      </c>
      <c r="AC146" s="51">
        <f t="shared" si="127"/>
        <v>1655141</v>
      </c>
      <c r="AD146" s="51">
        <f>SUM(AD141:AD145)</f>
        <v>1681709</v>
      </c>
      <c r="AE146" s="51">
        <v>1551977</v>
      </c>
      <c r="AF146" s="51">
        <f>SUM(AF141:AF145)</f>
        <v>1473267</v>
      </c>
      <c r="AG146" s="51">
        <v>1448435</v>
      </c>
      <c r="AH146" s="51">
        <v>1454640</v>
      </c>
      <c r="AI146" s="51">
        <v>1451793</v>
      </c>
      <c r="AJ146" s="51">
        <v>1462815</v>
      </c>
      <c r="AK146" s="51">
        <v>1464488</v>
      </c>
      <c r="AL146" s="51">
        <f>SUM(AL141:AL145)</f>
        <v>1498779</v>
      </c>
      <c r="AM146" s="51">
        <v>1492818</v>
      </c>
    </row>
    <row r="147" spans="2:39" ht="15">
      <c r="B147" s="16" t="s">
        <v>263</v>
      </c>
      <c r="D147" s="47">
        <v>0</v>
      </c>
      <c r="E147" s="47">
        <v>0</v>
      </c>
      <c r="F147" s="47">
        <v>0</v>
      </c>
      <c r="G147" s="47">
        <v>43439</v>
      </c>
      <c r="H147" s="46">
        <v>85131</v>
      </c>
      <c r="I147" s="46">
        <v>99083</v>
      </c>
      <c r="J147" s="46">
        <v>27990</v>
      </c>
      <c r="K147" s="47">
        <v>13085.942769316896</v>
      </c>
      <c r="L147" s="47">
        <v>14519.538153278474</v>
      </c>
      <c r="M147" s="11"/>
      <c r="N147" s="47"/>
      <c r="O147" s="47"/>
      <c r="P147" s="47"/>
      <c r="Q147" s="47">
        <v>0</v>
      </c>
      <c r="R147" s="47">
        <v>0</v>
      </c>
      <c r="S147" s="47">
        <v>0</v>
      </c>
      <c r="T147" s="47">
        <v>0</v>
      </c>
      <c r="U147" s="47">
        <f>G147</f>
        <v>43439</v>
      </c>
      <c r="V147" s="47">
        <v>53533</v>
      </c>
      <c r="W147" s="46">
        <v>58382</v>
      </c>
      <c r="X147" s="46">
        <v>74521</v>
      </c>
      <c r="Y147" s="46">
        <f>H147</f>
        <v>85131</v>
      </c>
      <c r="Z147" s="47">
        <v>88343</v>
      </c>
      <c r="AA147" s="47">
        <v>94011</v>
      </c>
      <c r="AB147" s="47">
        <v>100938</v>
      </c>
      <c r="AC147" s="47">
        <f t="shared" si="127"/>
        <v>99083</v>
      </c>
      <c r="AD147" s="47">
        <v>104099</v>
      </c>
      <c r="AE147" s="47">
        <v>28430</v>
      </c>
      <c r="AF147" s="47">
        <v>28074</v>
      </c>
      <c r="AG147" s="47">
        <v>27990</v>
      </c>
      <c r="AH147" s="47">
        <v>30377</v>
      </c>
      <c r="AI147" s="47">
        <v>29239</v>
      </c>
      <c r="AJ147" s="47">
        <v>29867</v>
      </c>
      <c r="AK147" s="47">
        <v>13085.942769316896</v>
      </c>
      <c r="AL147" s="47">
        <v>12921</v>
      </c>
      <c r="AM147" s="47">
        <v>14470</v>
      </c>
    </row>
    <row r="148" spans="2:39" ht="15">
      <c r="B148" s="33" t="s">
        <v>57</v>
      </c>
      <c r="D148" s="51">
        <f>D146</f>
        <v>741096</v>
      </c>
      <c r="E148" s="51">
        <f t="shared" ref="E148:F148" si="130">E146</f>
        <v>846772</v>
      </c>
      <c r="F148" s="51">
        <f t="shared" si="130"/>
        <v>261061</v>
      </c>
      <c r="G148" s="51">
        <f>G147+G146</f>
        <v>1683165</v>
      </c>
      <c r="H148" s="51">
        <f t="shared" ref="H148:J148" si="131">H147+H146</f>
        <v>1702622</v>
      </c>
      <c r="I148" s="51">
        <f t="shared" si="131"/>
        <v>1754224</v>
      </c>
      <c r="J148" s="51">
        <f t="shared" si="131"/>
        <v>1476425</v>
      </c>
      <c r="K148" s="51">
        <v>1477573.942769317</v>
      </c>
      <c r="L148" s="51">
        <v>1507337.5381532784</v>
      </c>
      <c r="M148" s="11"/>
      <c r="N148" s="51"/>
      <c r="O148" s="51"/>
      <c r="P148" s="51"/>
      <c r="Q148" s="51">
        <f t="shared" ref="Q148" si="132">Q146</f>
        <v>261061</v>
      </c>
      <c r="R148" s="51">
        <f t="shared" ref="R148:V148" si="133">R147+R146</f>
        <v>287515</v>
      </c>
      <c r="S148" s="51">
        <f t="shared" si="133"/>
        <v>1485343</v>
      </c>
      <c r="T148" s="51">
        <f t="shared" si="133"/>
        <v>1531625</v>
      </c>
      <c r="U148" s="51">
        <f t="shared" si="133"/>
        <v>1683165</v>
      </c>
      <c r="V148" s="51">
        <f t="shared" si="133"/>
        <v>1711168</v>
      </c>
      <c r="W148" s="51">
        <f t="shared" ref="W148:X148" si="134">W147+W146</f>
        <v>1733878.4599999995</v>
      </c>
      <c r="X148" s="51">
        <f t="shared" si="134"/>
        <v>1713705</v>
      </c>
      <c r="Y148" s="51">
        <f t="shared" ref="Y148:Z148" si="135">Y147+Y146</f>
        <v>1702622</v>
      </c>
      <c r="Z148" s="51">
        <f t="shared" si="135"/>
        <v>1725873.7680895762</v>
      </c>
      <c r="AA148" s="51">
        <f t="shared" ref="AA148:AB148" si="136">AA147+AA146</f>
        <v>1741362</v>
      </c>
      <c r="AB148" s="51">
        <f t="shared" si="136"/>
        <v>1763206</v>
      </c>
      <c r="AC148" s="51">
        <f t="shared" si="127"/>
        <v>1754224</v>
      </c>
      <c r="AD148" s="51">
        <f>AD147+AD146</f>
        <v>1785808</v>
      </c>
      <c r="AE148" s="51">
        <v>1580407</v>
      </c>
      <c r="AF148" s="51">
        <f>AF147+AF146</f>
        <v>1501341</v>
      </c>
      <c r="AG148" s="51">
        <v>1476425</v>
      </c>
      <c r="AH148" s="51">
        <v>1485017</v>
      </c>
      <c r="AI148" s="51">
        <v>1481032</v>
      </c>
      <c r="AJ148" s="51">
        <v>1492682</v>
      </c>
      <c r="AK148" s="51">
        <v>1477573.942769317</v>
      </c>
      <c r="AL148" s="51">
        <f>AL147+AL146</f>
        <v>1511700</v>
      </c>
      <c r="AM148" s="51">
        <v>1507288</v>
      </c>
    </row>
    <row r="149" spans="2:39" ht="15">
      <c r="B149" s="34" t="s">
        <v>58</v>
      </c>
      <c r="D149" s="51">
        <f>SUM(D126,D139,D146)</f>
        <v>1198346</v>
      </c>
      <c r="E149" s="51">
        <f>SUM(E126,E139,E146)</f>
        <v>1320307</v>
      </c>
      <c r="F149" s="51">
        <f>SUM(F126,F139,F146)</f>
        <v>1183929</v>
      </c>
      <c r="G149" s="51">
        <f>SUM(G126,G139,G148)</f>
        <v>4090778</v>
      </c>
      <c r="H149" s="51">
        <f>SUM(H126,H139,H148)</f>
        <v>4933164</v>
      </c>
      <c r="I149" s="51">
        <f>SUM(I128,I139,I148)</f>
        <v>5171451</v>
      </c>
      <c r="J149" s="51">
        <f>SUM(J128,J139,J148)</f>
        <v>4340852</v>
      </c>
      <c r="K149" s="51">
        <v>4312888.942769317</v>
      </c>
      <c r="L149" s="51">
        <v>4379138.5381532786</v>
      </c>
      <c r="M149" s="11"/>
      <c r="N149" s="51">
        <f>SUM(N126,N139,N146)</f>
        <v>1356150.25</v>
      </c>
      <c r="O149" s="51">
        <f>SUM(O126,O139,O146)</f>
        <v>1374225</v>
      </c>
      <c r="P149" s="51">
        <f>SUM(P126,P139,P146)</f>
        <v>1361091</v>
      </c>
      <c r="Q149" s="51">
        <f>F149</f>
        <v>1183929</v>
      </c>
      <c r="R149" s="51">
        <f t="shared" ref="R149:Y149" si="137">SUM(R126,R139,R148)</f>
        <v>1195334</v>
      </c>
      <c r="S149" s="51">
        <f t="shared" si="137"/>
        <v>2449311</v>
      </c>
      <c r="T149" s="51">
        <f t="shared" si="137"/>
        <v>2504341</v>
      </c>
      <c r="U149" s="51">
        <f t="shared" si="137"/>
        <v>4090778</v>
      </c>
      <c r="V149" s="51">
        <f t="shared" si="137"/>
        <v>4485932</v>
      </c>
      <c r="W149" s="51">
        <f t="shared" si="137"/>
        <v>4628625.6258899998</v>
      </c>
      <c r="X149" s="51">
        <f t="shared" si="137"/>
        <v>4823278</v>
      </c>
      <c r="Y149" s="51">
        <f t="shared" si="137"/>
        <v>4933164</v>
      </c>
      <c r="Z149" s="51">
        <f t="shared" ref="Z149:AB149" si="138">SUM(Z126,Z139,Z148)</f>
        <v>5013820.7680895757</v>
      </c>
      <c r="AA149" s="51">
        <f t="shared" si="138"/>
        <v>5083102</v>
      </c>
      <c r="AB149" s="51">
        <f t="shared" si="138"/>
        <v>5172372</v>
      </c>
      <c r="AC149" s="51">
        <f t="shared" si="127"/>
        <v>5171451</v>
      </c>
      <c r="AD149" s="51">
        <f>SUM(AD126,AD139,AD148)</f>
        <v>5262841</v>
      </c>
      <c r="AE149" s="51">
        <v>4928878</v>
      </c>
      <c r="AF149" s="51">
        <f>SUM(AF126,AF139,AF148)</f>
        <v>4413599</v>
      </c>
      <c r="AG149" s="51">
        <v>4340852</v>
      </c>
      <c r="AH149" s="51">
        <v>4377367</v>
      </c>
      <c r="AI149" s="51">
        <v>4338669</v>
      </c>
      <c r="AJ149" s="51">
        <v>4400937</v>
      </c>
      <c r="AK149" s="51">
        <v>4312888.942769317</v>
      </c>
      <c r="AL149" s="51">
        <f t="shared" ref="AL149" si="139">SUM(AL128,AL139,AL148)</f>
        <v>4334970</v>
      </c>
      <c r="AM149" s="51">
        <v>4380389</v>
      </c>
    </row>
    <row r="150" spans="2:39" ht="14.1" customHeight="1">
      <c r="B150" s="2"/>
      <c r="D150" s="77">
        <f t="shared" ref="D150:H150" si="140">D149-D111</f>
        <v>0</v>
      </c>
      <c r="E150" s="77">
        <f t="shared" si="140"/>
        <v>0</v>
      </c>
      <c r="F150" s="77">
        <f t="shared" si="140"/>
        <v>0</v>
      </c>
      <c r="G150" s="77">
        <f t="shared" si="140"/>
        <v>0</v>
      </c>
      <c r="H150" s="77">
        <f t="shared" si="140"/>
        <v>0</v>
      </c>
      <c r="I150" s="77">
        <f>I149-I111</f>
        <v>0</v>
      </c>
      <c r="J150" s="77">
        <f>J149-J111</f>
        <v>0</v>
      </c>
      <c r="K150" s="77"/>
      <c r="L150" s="77"/>
      <c r="M150" s="11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</row>
    <row r="151" spans="2:39" ht="15.75" thickBot="1">
      <c r="B151" s="62" t="s">
        <v>348</v>
      </c>
      <c r="D151" s="64">
        <v>43465</v>
      </c>
      <c r="E151" s="64">
        <v>43830</v>
      </c>
      <c r="F151" s="64">
        <v>44196</v>
      </c>
      <c r="G151" s="64">
        <v>44561</v>
      </c>
      <c r="H151" s="64">
        <v>44926</v>
      </c>
      <c r="I151" s="64">
        <v>45291</v>
      </c>
      <c r="J151" s="64">
        <v>45657</v>
      </c>
      <c r="K151" s="99">
        <v>46022</v>
      </c>
      <c r="L151" s="99">
        <v>46203</v>
      </c>
      <c r="M151" s="11"/>
      <c r="N151" s="64">
        <v>43921</v>
      </c>
      <c r="O151" s="64">
        <v>44012</v>
      </c>
      <c r="P151" s="64">
        <v>44104</v>
      </c>
      <c r="Q151" s="64">
        <v>44196</v>
      </c>
      <c r="R151" s="64">
        <v>44286</v>
      </c>
      <c r="S151" s="64">
        <v>44377</v>
      </c>
      <c r="T151" s="64">
        <v>44469</v>
      </c>
      <c r="U151" s="64">
        <v>44561</v>
      </c>
      <c r="V151" s="64">
        <v>44651</v>
      </c>
      <c r="W151" s="64">
        <v>44742</v>
      </c>
      <c r="X151" s="64">
        <v>44834</v>
      </c>
      <c r="Y151" s="64">
        <v>44926</v>
      </c>
      <c r="Z151" s="64">
        <v>45016</v>
      </c>
      <c r="AA151" s="64">
        <v>45107</v>
      </c>
      <c r="AB151" s="64">
        <v>45199</v>
      </c>
      <c r="AC151" s="64">
        <v>45291</v>
      </c>
      <c r="AD151" s="64">
        <v>45382</v>
      </c>
      <c r="AE151" s="64">
        <v>45473</v>
      </c>
      <c r="AF151" s="64">
        <v>45565</v>
      </c>
      <c r="AG151" s="64">
        <v>45657</v>
      </c>
      <c r="AH151" s="64">
        <v>45747</v>
      </c>
      <c r="AI151" s="64">
        <v>45838</v>
      </c>
      <c r="AJ151" s="99">
        <v>45930</v>
      </c>
      <c r="AK151" s="99">
        <v>46022</v>
      </c>
      <c r="AL151" s="99">
        <v>46112</v>
      </c>
      <c r="AM151" s="99">
        <v>46203</v>
      </c>
    </row>
    <row r="152" spans="2:39" ht="15.75" thickTop="1">
      <c r="B152" s="40" t="s">
        <v>89</v>
      </c>
      <c r="D152" s="55">
        <f t="shared" ref="D152:F152" si="141">D116</f>
        <v>28283</v>
      </c>
      <c r="E152" s="55">
        <f t="shared" si="141"/>
        <v>33051</v>
      </c>
      <c r="F152" s="55">
        <f t="shared" si="141"/>
        <v>239467</v>
      </c>
      <c r="G152" s="55">
        <f>G116</f>
        <v>64047</v>
      </c>
      <c r="H152" s="55">
        <f>H116</f>
        <v>52973</v>
      </c>
      <c r="I152" s="55">
        <f>I116</f>
        <v>52205</v>
      </c>
      <c r="J152" s="55">
        <v>75897</v>
      </c>
      <c r="K152" s="55">
        <v>112332</v>
      </c>
      <c r="L152" s="55">
        <v>111041</v>
      </c>
      <c r="M152" s="11"/>
      <c r="N152" s="55">
        <f>N116</f>
        <v>29530</v>
      </c>
      <c r="O152" s="55">
        <f>O116</f>
        <v>41148</v>
      </c>
      <c r="P152" s="55">
        <f>P116</f>
        <v>28182</v>
      </c>
      <c r="Q152" s="55">
        <f>F152</f>
        <v>239467</v>
      </c>
      <c r="R152" s="55">
        <f t="shared" ref="R152:Y152" si="142">R116</f>
        <v>64863</v>
      </c>
      <c r="S152" s="55">
        <f t="shared" si="142"/>
        <v>60208</v>
      </c>
      <c r="T152" s="55">
        <f t="shared" si="142"/>
        <v>65913</v>
      </c>
      <c r="U152" s="55">
        <f t="shared" si="142"/>
        <v>64047</v>
      </c>
      <c r="V152" s="55">
        <f t="shared" si="142"/>
        <v>86698</v>
      </c>
      <c r="W152" s="55">
        <f t="shared" si="142"/>
        <v>69062.216</v>
      </c>
      <c r="X152" s="55">
        <f t="shared" si="142"/>
        <v>63477</v>
      </c>
      <c r="Y152" s="55">
        <f t="shared" si="142"/>
        <v>52973</v>
      </c>
      <c r="Z152" s="55">
        <f t="shared" ref="Z152:AA152" si="143">Z116</f>
        <v>90479</v>
      </c>
      <c r="AA152" s="55">
        <f t="shared" si="143"/>
        <v>56810</v>
      </c>
      <c r="AB152" s="55">
        <f t="shared" ref="AB152:AD152" si="144">AB116</f>
        <v>77414</v>
      </c>
      <c r="AC152" s="55">
        <f t="shared" ref="AC152:AC157" si="145">I152</f>
        <v>52205</v>
      </c>
      <c r="AD152" s="55">
        <f t="shared" si="144"/>
        <v>97921</v>
      </c>
      <c r="AE152" s="55">
        <f t="shared" ref="AE152:AF152" si="146">AE116</f>
        <v>75837</v>
      </c>
      <c r="AF152" s="55">
        <f t="shared" si="146"/>
        <v>99719</v>
      </c>
      <c r="AG152" s="55">
        <v>75897</v>
      </c>
      <c r="AH152" s="55">
        <v>100691</v>
      </c>
      <c r="AI152" s="55">
        <v>76731</v>
      </c>
      <c r="AJ152" s="55">
        <f>AJ116</f>
        <v>89945</v>
      </c>
      <c r="AK152" s="55">
        <v>112332</v>
      </c>
      <c r="AL152" s="55">
        <f>AL116</f>
        <v>91935</v>
      </c>
      <c r="AM152" s="55">
        <v>111041</v>
      </c>
    </row>
    <row r="153" spans="2:39" ht="15">
      <c r="B153" s="41" t="s">
        <v>90</v>
      </c>
      <c r="D153" s="47">
        <f t="shared" ref="D153:G153" si="147">D130</f>
        <v>147226</v>
      </c>
      <c r="E153" s="47">
        <f t="shared" si="147"/>
        <v>157740</v>
      </c>
      <c r="F153" s="47">
        <f t="shared" si="147"/>
        <v>2772</v>
      </c>
      <c r="G153" s="47">
        <f t="shared" si="147"/>
        <v>1047261</v>
      </c>
      <c r="H153" s="47">
        <f>H130</f>
        <v>1150207</v>
      </c>
      <c r="I153" s="47">
        <f>I130</f>
        <v>1202660</v>
      </c>
      <c r="J153" s="47">
        <v>1347024</v>
      </c>
      <c r="K153" s="47">
        <v>1290122</v>
      </c>
      <c r="L153" s="47">
        <v>1253843</v>
      </c>
      <c r="M153" s="11"/>
      <c r="N153" s="47">
        <f>N130</f>
        <v>186897</v>
      </c>
      <c r="O153" s="47">
        <f>O130</f>
        <v>179825</v>
      </c>
      <c r="P153" s="47">
        <f>P130</f>
        <v>191666</v>
      </c>
      <c r="Q153" s="47">
        <f>F153</f>
        <v>2772</v>
      </c>
      <c r="R153" s="47">
        <f t="shared" ref="R153:Y153" si="148">R130</f>
        <v>165487</v>
      </c>
      <c r="S153" s="47">
        <f t="shared" si="148"/>
        <v>220497</v>
      </c>
      <c r="T153" s="47">
        <f t="shared" si="148"/>
        <v>192336</v>
      </c>
      <c r="U153" s="47">
        <f t="shared" si="148"/>
        <v>1047261</v>
      </c>
      <c r="V153" s="47">
        <f t="shared" si="148"/>
        <v>1102437</v>
      </c>
      <c r="W153" s="47">
        <f t="shared" si="148"/>
        <v>1098007.3670000001</v>
      </c>
      <c r="X153" s="47">
        <f t="shared" si="148"/>
        <v>1158679</v>
      </c>
      <c r="Y153" s="47">
        <f t="shared" si="148"/>
        <v>1150207</v>
      </c>
      <c r="Z153" s="47">
        <f t="shared" ref="Z153:AA153" si="149">Z130</f>
        <v>1142639</v>
      </c>
      <c r="AA153" s="47">
        <f t="shared" si="149"/>
        <v>1213206</v>
      </c>
      <c r="AB153" s="47">
        <f t="shared" ref="AB153:AD153" si="150">AB130</f>
        <v>1210208</v>
      </c>
      <c r="AC153" s="47">
        <f t="shared" si="145"/>
        <v>1202660</v>
      </c>
      <c r="AD153" s="47">
        <f t="shared" si="150"/>
        <v>1170357</v>
      </c>
      <c r="AE153" s="47">
        <f t="shared" ref="AE153:AF153" si="151">AE130</f>
        <v>1364845</v>
      </c>
      <c r="AF153" s="47">
        <f t="shared" si="151"/>
        <v>1356412</v>
      </c>
      <c r="AG153" s="47">
        <v>1347024</v>
      </c>
      <c r="AH153" s="47">
        <v>1329427</v>
      </c>
      <c r="AI153" s="47">
        <v>1311259</v>
      </c>
      <c r="AJ153" s="47">
        <f>AJ130</f>
        <v>1300903</v>
      </c>
      <c r="AK153" s="47">
        <v>1290122</v>
      </c>
      <c r="AL153" s="47">
        <f>AL130</f>
        <v>1273060</v>
      </c>
      <c r="AM153" s="47">
        <v>1253843</v>
      </c>
    </row>
    <row r="154" spans="2:39" ht="15">
      <c r="B154" s="41" t="s">
        <v>336</v>
      </c>
      <c r="D154" s="47">
        <f t="shared" ref="D154:G154" si="152">-D91+D131</f>
        <v>0</v>
      </c>
      <c r="E154" s="47">
        <f t="shared" si="152"/>
        <v>0</v>
      </c>
      <c r="F154" s="47">
        <f t="shared" si="152"/>
        <v>-4585</v>
      </c>
      <c r="G154" s="47">
        <f t="shared" si="152"/>
        <v>-979</v>
      </c>
      <c r="H154" s="47">
        <f>-H91+H131-H103</f>
        <v>2620</v>
      </c>
      <c r="I154" s="47">
        <f>-I91+I131-I103</f>
        <v>-10854</v>
      </c>
      <c r="J154" s="47">
        <f>-J91+J131-J103+J117</f>
        <v>23856</v>
      </c>
      <c r="K154" s="47">
        <v>22960</v>
      </c>
      <c r="L154" s="47">
        <v>26301</v>
      </c>
      <c r="M154" s="11"/>
      <c r="N154" s="47"/>
      <c r="O154" s="47"/>
      <c r="P154" s="47"/>
      <c r="Q154" s="47"/>
      <c r="R154" s="47">
        <f t="shared" ref="R154:Y154" si="153">-R91+R131</f>
        <v>-3923</v>
      </c>
      <c r="S154" s="47">
        <f t="shared" si="153"/>
        <v>-1225</v>
      </c>
      <c r="T154" s="47">
        <f t="shared" si="153"/>
        <v>-1208</v>
      </c>
      <c r="U154" s="47">
        <f t="shared" si="153"/>
        <v>-979</v>
      </c>
      <c r="V154" s="47">
        <f t="shared" si="153"/>
        <v>-258</v>
      </c>
      <c r="W154" s="47">
        <f t="shared" si="153"/>
        <v>-360</v>
      </c>
      <c r="X154" s="47">
        <f t="shared" si="153"/>
        <v>2819</v>
      </c>
      <c r="Y154" s="47">
        <f t="shared" si="153"/>
        <v>2620</v>
      </c>
      <c r="Z154" s="47">
        <f>-Z91+Z131</f>
        <v>-4774</v>
      </c>
      <c r="AA154" s="47">
        <f>-AA91+AA131</f>
        <v>-13557</v>
      </c>
      <c r="AB154" s="47">
        <f>-AB91+AB131</f>
        <v>-259</v>
      </c>
      <c r="AC154" s="47">
        <f t="shared" si="145"/>
        <v>-10854</v>
      </c>
      <c r="AD154" s="47">
        <f>-AD91-AD103+AD131</f>
        <v>-5400</v>
      </c>
      <c r="AE154" s="47">
        <f>-AE91-AE103+AE131+AE117</f>
        <v>8122</v>
      </c>
      <c r="AF154" s="47">
        <f>-AF91-AF103+AF131+AF117</f>
        <v>9918</v>
      </c>
      <c r="AG154" s="47">
        <v>23856</v>
      </c>
      <c r="AH154" s="47">
        <v>21245</v>
      </c>
      <c r="AI154" s="47">
        <v>21943</v>
      </c>
      <c r="AJ154" s="47">
        <f>-AJ91+AJ131+AJ117+AJ103</f>
        <v>26562</v>
      </c>
      <c r="AK154" s="47">
        <v>22960</v>
      </c>
      <c r="AL154" s="47">
        <f>-AL91+AL131+AL117+AL103</f>
        <v>19284</v>
      </c>
      <c r="AM154" s="47">
        <v>26301</v>
      </c>
    </row>
    <row r="155" spans="2:39" ht="15">
      <c r="B155" s="42" t="s">
        <v>91</v>
      </c>
      <c r="D155" s="51">
        <f>SUM(D152:D154)</f>
        <v>175509</v>
      </c>
      <c r="E155" s="51">
        <f t="shared" ref="E155:H155" si="154">SUM(E152:E154)</f>
        <v>190791</v>
      </c>
      <c r="F155" s="51">
        <f t="shared" si="154"/>
        <v>237654</v>
      </c>
      <c r="G155" s="51">
        <f t="shared" si="154"/>
        <v>1110329</v>
      </c>
      <c r="H155" s="51">
        <f t="shared" si="154"/>
        <v>1205800</v>
      </c>
      <c r="I155" s="51">
        <f>SUM(I152:I154)</f>
        <v>1244011</v>
      </c>
      <c r="J155" s="51">
        <f>SUM(J152:J154)</f>
        <v>1446777</v>
      </c>
      <c r="K155" s="51">
        <v>1425414</v>
      </c>
      <c r="L155" s="51">
        <v>1391185</v>
      </c>
      <c r="M155" s="11"/>
      <c r="N155" s="51">
        <f t="shared" ref="N155:O155" si="155">SUM(N152:N153)</f>
        <v>216427</v>
      </c>
      <c r="O155" s="51">
        <f t="shared" si="155"/>
        <v>220973</v>
      </c>
      <c r="P155" s="51">
        <f>SUM(P152:P153)</f>
        <v>219848</v>
      </c>
      <c r="Q155" s="51">
        <f>F155</f>
        <v>237654</v>
      </c>
      <c r="R155" s="51">
        <f t="shared" ref="R155:Y155" si="156">SUM(R152:R154)</f>
        <v>226427</v>
      </c>
      <c r="S155" s="51">
        <f t="shared" si="156"/>
        <v>279480</v>
      </c>
      <c r="T155" s="51">
        <f t="shared" si="156"/>
        <v>257041</v>
      </c>
      <c r="U155" s="51">
        <f t="shared" si="156"/>
        <v>1110329</v>
      </c>
      <c r="V155" s="51">
        <f t="shared" si="156"/>
        <v>1188877</v>
      </c>
      <c r="W155" s="51">
        <f t="shared" si="156"/>
        <v>1166709.5830000001</v>
      </c>
      <c r="X155" s="51">
        <f t="shared" si="156"/>
        <v>1224975</v>
      </c>
      <c r="Y155" s="51">
        <f t="shared" si="156"/>
        <v>1205800</v>
      </c>
      <c r="Z155" s="51">
        <f>SUM(Z152:Z154)</f>
        <v>1228344</v>
      </c>
      <c r="AA155" s="51">
        <f>SUM(AA152:AA154)</f>
        <v>1256459</v>
      </c>
      <c r="AB155" s="51">
        <f>SUM(AB152:AB154)</f>
        <v>1287363</v>
      </c>
      <c r="AC155" s="51">
        <f t="shared" si="145"/>
        <v>1244011</v>
      </c>
      <c r="AD155" s="51">
        <f>SUM(AD152:AD154)</f>
        <v>1262878</v>
      </c>
      <c r="AE155" s="51">
        <f>SUM(AE152:AE154)</f>
        <v>1448804</v>
      </c>
      <c r="AF155" s="51">
        <f>SUM(AF152:AF154)</f>
        <v>1466049</v>
      </c>
      <c r="AG155" s="51">
        <v>1446777</v>
      </c>
      <c r="AH155" s="51">
        <v>1451363</v>
      </c>
      <c r="AI155" s="51">
        <v>1409933</v>
      </c>
      <c r="AJ155" s="51">
        <f>SUM(AJ152:AJ154)</f>
        <v>1417410</v>
      </c>
      <c r="AK155" s="51">
        <v>1425414</v>
      </c>
      <c r="AL155" s="51">
        <f>SUM(AL152:AL154)</f>
        <v>1384279</v>
      </c>
      <c r="AM155" s="51">
        <v>1391185</v>
      </c>
    </row>
    <row r="156" spans="2:39" ht="15">
      <c r="B156" s="41" t="s">
        <v>232</v>
      </c>
      <c r="D156" s="47">
        <f t="shared" ref="D156:I156" si="157">SUM(D87,D88)</f>
        <v>286284</v>
      </c>
      <c r="E156" s="47">
        <f t="shared" si="157"/>
        <v>261200</v>
      </c>
      <c r="F156" s="47">
        <f t="shared" si="157"/>
        <v>270810</v>
      </c>
      <c r="G156" s="47">
        <f t="shared" si="157"/>
        <v>1278567</v>
      </c>
      <c r="H156" s="47">
        <f t="shared" si="157"/>
        <v>378298</v>
      </c>
      <c r="I156" s="47">
        <f t="shared" si="157"/>
        <v>319133</v>
      </c>
      <c r="J156" s="47">
        <v>675316</v>
      </c>
      <c r="K156" s="47">
        <v>625458</v>
      </c>
      <c r="L156" s="47">
        <v>627830</v>
      </c>
      <c r="M156" s="11"/>
      <c r="N156" s="47">
        <f>SUM(N87,N88)</f>
        <v>297837</v>
      </c>
      <c r="O156" s="47">
        <f>SUM(O87,O88)</f>
        <v>311212</v>
      </c>
      <c r="P156" s="47">
        <f>SUM(P87,P88)</f>
        <v>281875</v>
      </c>
      <c r="Q156" s="47">
        <f>F156</f>
        <v>270810</v>
      </c>
      <c r="R156" s="47">
        <f t="shared" ref="R156:Y156" si="158">SUM(R87,R88)</f>
        <v>227968</v>
      </c>
      <c r="S156" s="47">
        <f t="shared" si="158"/>
        <v>1384498</v>
      </c>
      <c r="T156" s="47">
        <f t="shared" si="158"/>
        <v>1353457</v>
      </c>
      <c r="U156" s="47">
        <f t="shared" si="158"/>
        <v>1278567</v>
      </c>
      <c r="V156" s="47">
        <f t="shared" si="158"/>
        <v>858797</v>
      </c>
      <c r="W156" s="47">
        <f t="shared" si="158"/>
        <v>601829.27835000004</v>
      </c>
      <c r="X156" s="47">
        <f t="shared" si="158"/>
        <v>481535</v>
      </c>
      <c r="Y156" s="47">
        <f t="shared" si="158"/>
        <v>378298</v>
      </c>
      <c r="Z156" s="47">
        <f t="shared" ref="Z156:AD156" si="159">SUM(Z87,Z88)</f>
        <v>327753</v>
      </c>
      <c r="AA156" s="47">
        <f t="shared" si="159"/>
        <v>316864</v>
      </c>
      <c r="AB156" s="47">
        <f t="shared" si="159"/>
        <v>363736</v>
      </c>
      <c r="AC156" s="47">
        <f t="shared" si="145"/>
        <v>319133</v>
      </c>
      <c r="AD156" s="47">
        <f t="shared" si="159"/>
        <v>241575</v>
      </c>
      <c r="AE156" s="47">
        <f t="shared" ref="AE156:AF156" si="160">SUM(AE87,AE88)</f>
        <v>324581</v>
      </c>
      <c r="AF156" s="47">
        <f t="shared" si="160"/>
        <v>755914</v>
      </c>
      <c r="AG156" s="47">
        <v>675316</v>
      </c>
      <c r="AH156" s="47">
        <v>670413</v>
      </c>
      <c r="AI156" s="47">
        <v>638213</v>
      </c>
      <c r="AJ156" s="47">
        <f>SUM(AJ87,AJ88)</f>
        <v>679543</v>
      </c>
      <c r="AK156" s="47">
        <v>625458</v>
      </c>
      <c r="AL156" s="47">
        <f>SUM(AL87,AL88)</f>
        <v>583971</v>
      </c>
      <c r="AM156" s="47">
        <v>627830</v>
      </c>
    </row>
    <row r="157" spans="2:39" ht="15">
      <c r="B157" s="42" t="s">
        <v>92</v>
      </c>
      <c r="D157" s="51">
        <f t="shared" ref="D157:O157" si="161">D155-D156</f>
        <v>-110775</v>
      </c>
      <c r="E157" s="51">
        <f>E155-E156</f>
        <v>-70409</v>
      </c>
      <c r="F157" s="51">
        <f t="shared" si="161"/>
        <v>-33156</v>
      </c>
      <c r="G157" s="51">
        <f t="shared" ref="G157" si="162">G155-G156</f>
        <v>-168238</v>
      </c>
      <c r="H157" s="51">
        <f>H155-H156</f>
        <v>827502</v>
      </c>
      <c r="I157" s="51">
        <f>I155-I156</f>
        <v>924878</v>
      </c>
      <c r="J157" s="51">
        <f>J155-J156</f>
        <v>771461</v>
      </c>
      <c r="K157" s="51">
        <v>799956</v>
      </c>
      <c r="L157" s="51">
        <v>763355</v>
      </c>
      <c r="M157" s="11"/>
      <c r="N157" s="51">
        <f t="shared" si="161"/>
        <v>-81410</v>
      </c>
      <c r="O157" s="51">
        <f t="shared" si="161"/>
        <v>-90239</v>
      </c>
      <c r="P157" s="51">
        <f>P155-P156</f>
        <v>-62027</v>
      </c>
      <c r="Q157" s="51">
        <f>F157</f>
        <v>-33156</v>
      </c>
      <c r="R157" s="51">
        <f t="shared" ref="R157:S157" si="163">R155-R156</f>
        <v>-1541</v>
      </c>
      <c r="S157" s="51">
        <f t="shared" si="163"/>
        <v>-1105018</v>
      </c>
      <c r="T157" s="51">
        <f>T155-T156</f>
        <v>-1096416</v>
      </c>
      <c r="U157" s="51">
        <f t="shared" ref="U157" si="164">U155-U156</f>
        <v>-168238</v>
      </c>
      <c r="V157" s="51">
        <f t="shared" ref="V157:AD157" si="165">V155-V156</f>
        <v>330080</v>
      </c>
      <c r="W157" s="51">
        <f t="shared" si="165"/>
        <v>564880.30465000006</v>
      </c>
      <c r="X157" s="51">
        <f t="shared" si="165"/>
        <v>743440</v>
      </c>
      <c r="Y157" s="51">
        <f t="shared" si="165"/>
        <v>827502</v>
      </c>
      <c r="Z157" s="51">
        <f t="shared" si="165"/>
        <v>900591</v>
      </c>
      <c r="AA157" s="51">
        <f t="shared" si="165"/>
        <v>939595</v>
      </c>
      <c r="AB157" s="51">
        <f t="shared" si="165"/>
        <v>923627</v>
      </c>
      <c r="AC157" s="51">
        <f t="shared" si="145"/>
        <v>924878</v>
      </c>
      <c r="AD157" s="51">
        <f t="shared" si="165"/>
        <v>1021303</v>
      </c>
      <c r="AE157" s="51">
        <f t="shared" ref="AE157:AF157" si="166">AE155-AE156</f>
        <v>1124223</v>
      </c>
      <c r="AF157" s="51">
        <f t="shared" si="166"/>
        <v>710135</v>
      </c>
      <c r="AG157" s="51">
        <v>771461</v>
      </c>
      <c r="AH157" s="51">
        <v>780950</v>
      </c>
      <c r="AI157" s="51">
        <v>771720</v>
      </c>
      <c r="AJ157" s="51">
        <f>AJ155-AJ156</f>
        <v>737867</v>
      </c>
      <c r="AK157" s="51">
        <v>799956</v>
      </c>
      <c r="AL157" s="51">
        <f>AL155-AL156</f>
        <v>800308</v>
      </c>
      <c r="AM157" s="51">
        <v>763355</v>
      </c>
    </row>
    <row r="158" spans="2:39" ht="15.75">
      <c r="B158" s="2"/>
      <c r="J158" s="52"/>
      <c r="K158" s="52"/>
      <c r="L158" s="52"/>
      <c r="M158" s="11"/>
      <c r="N158" s="1"/>
      <c r="O158" s="1"/>
      <c r="V158" s="72"/>
      <c r="W158" s="72"/>
    </row>
    <row r="159" spans="2:39" ht="15.75" thickBot="1">
      <c r="B159" s="62" t="s">
        <v>302</v>
      </c>
      <c r="D159" s="63">
        <v>2018</v>
      </c>
      <c r="E159" s="63">
        <v>2019</v>
      </c>
      <c r="F159" s="63">
        <v>2020</v>
      </c>
      <c r="G159" s="63">
        <v>2021</v>
      </c>
      <c r="H159" s="63">
        <v>2022</v>
      </c>
      <c r="I159" s="63">
        <v>2023</v>
      </c>
      <c r="J159" s="63">
        <v>2024</v>
      </c>
      <c r="K159" s="63">
        <v>2025</v>
      </c>
      <c r="L159" s="68" t="s">
        <v>412</v>
      </c>
      <c r="M159" s="11"/>
      <c r="N159" s="1"/>
      <c r="P159"/>
      <c r="Q159"/>
      <c r="T159"/>
      <c r="U159"/>
      <c r="V159" s="1"/>
      <c r="Z159"/>
      <c r="AA159" s="90"/>
      <c r="AB159" s="90"/>
      <c r="AC159" s="90"/>
    </row>
    <row r="160" spans="2:39" ht="15.75" thickTop="1">
      <c r="B160" s="36" t="s">
        <v>61</v>
      </c>
      <c r="D160" s="26"/>
      <c r="E160" s="26"/>
      <c r="F160" s="26"/>
      <c r="G160" s="26"/>
      <c r="H160" s="26"/>
      <c r="I160" s="26"/>
      <c r="J160" s="26"/>
      <c r="K160" s="26"/>
      <c r="L160" s="26"/>
      <c r="M160" s="11"/>
      <c r="N160" s="1"/>
      <c r="P160"/>
      <c r="Q160"/>
      <c r="T160"/>
      <c r="U160"/>
      <c r="V160" s="1"/>
      <c r="Z160"/>
      <c r="AA160"/>
      <c r="AB160"/>
      <c r="AC160"/>
    </row>
    <row r="161" spans="2:29" ht="15">
      <c r="B161" s="37" t="s">
        <v>190</v>
      </c>
      <c r="D161" s="46">
        <f t="shared" ref="D161:I161" si="167">D44</f>
        <v>124434.65302999999</v>
      </c>
      <c r="E161" s="46">
        <f t="shared" si="167"/>
        <v>138103.99999999994</v>
      </c>
      <c r="F161" s="46">
        <f t="shared" si="167"/>
        <v>72643</v>
      </c>
      <c r="G161" s="46">
        <f t="shared" si="167"/>
        <v>146845.79999999999</v>
      </c>
      <c r="H161" s="46">
        <f t="shared" si="167"/>
        <v>122687</v>
      </c>
      <c r="I161" s="46">
        <f t="shared" si="167"/>
        <v>141247</v>
      </c>
      <c r="J161" s="46">
        <v>-323904</v>
      </c>
      <c r="K161" s="46">
        <v>111916</v>
      </c>
      <c r="L161" s="46">
        <v>77553</v>
      </c>
      <c r="M161" s="11"/>
      <c r="N161" s="1"/>
      <c r="P161"/>
      <c r="Q161"/>
      <c r="S161" s="52"/>
      <c r="T161"/>
      <c r="U161"/>
      <c r="V161" s="1"/>
      <c r="W161" s="89"/>
      <c r="Z161"/>
      <c r="AA161"/>
      <c r="AB161"/>
      <c r="AC161"/>
    </row>
    <row r="162" spans="2:29" ht="15">
      <c r="B162" s="38" t="s">
        <v>62</v>
      </c>
      <c r="D162" s="56"/>
      <c r="E162" s="56"/>
      <c r="F162" s="56"/>
      <c r="G162" s="56"/>
      <c r="H162" s="56"/>
      <c r="I162" s="56"/>
      <c r="J162" s="56"/>
      <c r="K162" s="56"/>
      <c r="L162" s="56"/>
      <c r="M162" s="11"/>
      <c r="N162" s="1"/>
      <c r="P162"/>
      <c r="Q162"/>
      <c r="T162"/>
      <c r="U162"/>
      <c r="V162" s="1"/>
      <c r="Z162"/>
      <c r="AA162"/>
      <c r="AB162"/>
      <c r="AC162"/>
    </row>
    <row r="163" spans="2:29" ht="15">
      <c r="B163" s="37" t="s">
        <v>14</v>
      </c>
      <c r="D163" s="47">
        <v>36309</v>
      </c>
      <c r="E163" s="47">
        <v>46887</v>
      </c>
      <c r="F163" s="47">
        <v>38496</v>
      </c>
      <c r="G163" s="46">
        <v>40778</v>
      </c>
      <c r="H163" s="46">
        <v>90072</v>
      </c>
      <c r="I163" s="46">
        <v>102002</v>
      </c>
      <c r="J163" s="46">
        <v>109041</v>
      </c>
      <c r="K163" s="46">
        <v>111105</v>
      </c>
      <c r="L163" s="46">
        <v>58212</v>
      </c>
      <c r="M163" s="11"/>
      <c r="N163" s="1"/>
      <c r="P163"/>
      <c r="Q163"/>
      <c r="S163" s="52"/>
      <c r="T163"/>
      <c r="U163"/>
      <c r="V163" s="1"/>
      <c r="W163" s="89"/>
      <c r="Z163"/>
      <c r="AA163"/>
      <c r="AB163"/>
      <c r="AC163"/>
    </row>
    <row r="164" spans="2:29" ht="15">
      <c r="B164" s="37" t="s">
        <v>63</v>
      </c>
      <c r="D164" s="47">
        <v>1947</v>
      </c>
      <c r="E164" s="47">
        <v>1983</v>
      </c>
      <c r="F164" s="47">
        <v>2815</v>
      </c>
      <c r="G164" s="46">
        <v>1027</v>
      </c>
      <c r="H164" s="46">
        <v>6801</v>
      </c>
      <c r="I164" s="46">
        <v>2126</v>
      </c>
      <c r="J164" s="46">
        <v>426</v>
      </c>
      <c r="K164" s="46">
        <v>5556</v>
      </c>
      <c r="L164" s="46">
        <v>2345</v>
      </c>
      <c r="M164" s="11"/>
    </row>
    <row r="165" spans="2:29" ht="15">
      <c r="B165" s="37" t="s">
        <v>253</v>
      </c>
      <c r="D165" s="47">
        <v>18762</v>
      </c>
      <c r="E165" s="47">
        <v>9531</v>
      </c>
      <c r="F165" s="47">
        <v>30875</v>
      </c>
      <c r="G165" s="46">
        <v>12423</v>
      </c>
      <c r="H165" s="46">
        <v>10988</v>
      </c>
      <c r="I165" s="46">
        <v>17921</v>
      </c>
      <c r="J165" s="46">
        <v>26648</v>
      </c>
      <c r="K165" s="46">
        <v>17560</v>
      </c>
      <c r="L165" s="46">
        <v>12913</v>
      </c>
      <c r="M165" s="11"/>
    </row>
    <row r="166" spans="2:29" ht="15">
      <c r="B166" s="37" t="s">
        <v>252</v>
      </c>
      <c r="D166" s="47">
        <v>0</v>
      </c>
      <c r="E166" s="47">
        <v>1386</v>
      </c>
      <c r="F166" s="47">
        <v>14422</v>
      </c>
      <c r="G166" s="46">
        <v>7114</v>
      </c>
      <c r="H166" s="46">
        <v>37815</v>
      </c>
      <c r="I166" s="46">
        <v>48011</v>
      </c>
      <c r="J166" s="46">
        <v>41588</v>
      </c>
      <c r="K166" s="46">
        <v>37628</v>
      </c>
      <c r="L166" s="46">
        <v>45650</v>
      </c>
      <c r="M166" s="11"/>
    </row>
    <row r="167" spans="2:29" ht="15">
      <c r="B167" s="37" t="s">
        <v>64</v>
      </c>
      <c r="D167" s="47">
        <v>17073</v>
      </c>
      <c r="E167" s="47">
        <v>2863</v>
      </c>
      <c r="F167" s="47">
        <v>24350</v>
      </c>
      <c r="G167" s="46">
        <v>18344</v>
      </c>
      <c r="H167" s="46">
        <v>10404</v>
      </c>
      <c r="I167" s="46">
        <v>-834</v>
      </c>
      <c r="J167" s="46">
        <v>-83216</v>
      </c>
      <c r="K167" s="46">
        <v>9101</v>
      </c>
      <c r="L167" s="46">
        <v>-2904</v>
      </c>
      <c r="M167" s="11"/>
    </row>
    <row r="168" spans="2:29" ht="15">
      <c r="B168" s="37" t="s">
        <v>248</v>
      </c>
      <c r="D168" s="47">
        <v>0</v>
      </c>
      <c r="E168" s="47">
        <v>0</v>
      </c>
      <c r="F168" s="47">
        <v>0</v>
      </c>
      <c r="G168" s="46">
        <v>8562</v>
      </c>
      <c r="H168" s="46">
        <v>11704</v>
      </c>
      <c r="I168" s="46">
        <v>11704</v>
      </c>
      <c r="J168" s="46">
        <v>8323</v>
      </c>
      <c r="K168" s="46">
        <v>4251</v>
      </c>
      <c r="L168" s="46">
        <v>874</v>
      </c>
      <c r="M168" s="11"/>
    </row>
    <row r="169" spans="2:29" ht="15">
      <c r="B169" s="37" t="s">
        <v>266</v>
      </c>
      <c r="D169" s="47">
        <v>0</v>
      </c>
      <c r="E169" s="47">
        <v>0</v>
      </c>
      <c r="F169" s="47">
        <v>0</v>
      </c>
      <c r="G169" s="46">
        <v>-83</v>
      </c>
      <c r="H169" s="46">
        <v>285</v>
      </c>
      <c r="I169" s="46">
        <v>-2655</v>
      </c>
      <c r="J169" s="46">
        <v>2430</v>
      </c>
      <c r="K169" s="46">
        <v>1507</v>
      </c>
      <c r="L169" s="46">
        <v>-350</v>
      </c>
      <c r="M169" s="11"/>
    </row>
    <row r="170" spans="2:29" ht="15">
      <c r="B170" s="37" t="s">
        <v>65</v>
      </c>
      <c r="D170" s="47">
        <v>0</v>
      </c>
      <c r="E170" s="47">
        <v>493</v>
      </c>
      <c r="F170" s="47">
        <v>-4420</v>
      </c>
      <c r="G170" s="46">
        <v>-115</v>
      </c>
      <c r="H170" s="46">
        <v>10340</v>
      </c>
      <c r="I170" s="46">
        <v>7380</v>
      </c>
      <c r="J170" s="46">
        <v>-1111</v>
      </c>
      <c r="K170" s="46">
        <v>11545</v>
      </c>
      <c r="L170" s="46">
        <v>1966</v>
      </c>
      <c r="M170" s="11"/>
    </row>
    <row r="171" spans="2:29" ht="15">
      <c r="B171" s="37" t="s">
        <v>66</v>
      </c>
      <c r="D171" s="47">
        <v>-7550</v>
      </c>
      <c r="E171" s="47">
        <v>-7703</v>
      </c>
      <c r="F171" s="47">
        <v>-2122</v>
      </c>
      <c r="G171" s="46">
        <v>-56621</v>
      </c>
      <c r="H171" s="46">
        <v>-70607</v>
      </c>
      <c r="I171" s="46">
        <v>-31073</v>
      </c>
      <c r="J171" s="46">
        <v>-40445</v>
      </c>
      <c r="K171" s="46">
        <v>-83471</v>
      </c>
      <c r="L171" s="46">
        <v>-36669</v>
      </c>
      <c r="M171" s="11"/>
    </row>
    <row r="172" spans="2:29" ht="15">
      <c r="B172" s="37" t="s">
        <v>67</v>
      </c>
      <c r="D172" s="47">
        <v>16885</v>
      </c>
      <c r="E172" s="47">
        <v>22415</v>
      </c>
      <c r="F172" s="47">
        <v>22915</v>
      </c>
      <c r="G172" s="46">
        <v>76540</v>
      </c>
      <c r="H172" s="46">
        <v>226663</v>
      </c>
      <c r="I172" s="46">
        <f>-25963+248931</f>
        <v>222968</v>
      </c>
      <c r="J172" s="46">
        <v>213084</v>
      </c>
      <c r="K172" s="46">
        <v>251724</v>
      </c>
      <c r="L172" s="46">
        <v>119001</v>
      </c>
      <c r="M172" s="11"/>
    </row>
    <row r="173" spans="2:29" ht="15">
      <c r="B173" s="37" t="s">
        <v>362</v>
      </c>
      <c r="D173" s="46">
        <v>0</v>
      </c>
      <c r="E173" s="46">
        <v>0</v>
      </c>
      <c r="F173" s="46">
        <v>0</v>
      </c>
      <c r="G173" s="46">
        <v>0</v>
      </c>
      <c r="H173" s="46">
        <v>0</v>
      </c>
      <c r="I173" s="46">
        <v>0</v>
      </c>
      <c r="J173" s="46">
        <v>938</v>
      </c>
      <c r="K173" s="46"/>
      <c r="L173" s="46"/>
      <c r="M173" s="11"/>
    </row>
    <row r="174" spans="2:29" ht="15">
      <c r="B174" s="37" t="s">
        <v>385</v>
      </c>
      <c r="D174" s="46">
        <v>0</v>
      </c>
      <c r="E174" s="46">
        <v>0</v>
      </c>
      <c r="F174" s="46">
        <v>0</v>
      </c>
      <c r="G174" s="46">
        <v>0</v>
      </c>
      <c r="H174" s="46">
        <v>0</v>
      </c>
      <c r="I174" s="46">
        <v>0</v>
      </c>
      <c r="J174" s="46">
        <v>754264</v>
      </c>
      <c r="K174" s="46"/>
      <c r="L174" s="46"/>
      <c r="M174" s="11"/>
    </row>
    <row r="175" spans="2:29" ht="15">
      <c r="B175" s="37" t="s">
        <v>68</v>
      </c>
      <c r="D175" s="47">
        <v>65972</v>
      </c>
      <c r="E175" s="47">
        <v>72994</v>
      </c>
      <c r="F175" s="47">
        <v>30119</v>
      </c>
      <c r="G175" s="46">
        <v>-21364</v>
      </c>
      <c r="H175" s="46">
        <v>26668</v>
      </c>
      <c r="I175" s="46">
        <v>21773</v>
      </c>
      <c r="J175" s="46">
        <v>-194384</v>
      </c>
      <c r="K175" s="46">
        <v>-9108</v>
      </c>
      <c r="L175" s="46">
        <v>-358</v>
      </c>
      <c r="M175" s="11"/>
    </row>
    <row r="176" spans="2:29" ht="15">
      <c r="B176" s="37"/>
      <c r="D176" s="50">
        <f>SUM(D161:D175)</f>
        <v>273832.65302999999</v>
      </c>
      <c r="E176" s="50">
        <f t="shared" ref="E176:G176" si="168">SUM(E161:E175)</f>
        <v>288952.99999999994</v>
      </c>
      <c r="F176" s="50">
        <f t="shared" si="168"/>
        <v>230093</v>
      </c>
      <c r="G176" s="50">
        <f t="shared" si="168"/>
        <v>233450.8</v>
      </c>
      <c r="H176" s="50">
        <f t="shared" ref="H176" si="169">SUM(H161:H175)</f>
        <v>483820</v>
      </c>
      <c r="I176" s="50">
        <f t="shared" ref="I176:J176" si="170">SUM(I161:I175)</f>
        <v>540570</v>
      </c>
      <c r="J176" s="50">
        <f t="shared" si="170"/>
        <v>513682</v>
      </c>
      <c r="K176" s="50">
        <v>468823</v>
      </c>
      <c r="L176" s="50">
        <v>278233</v>
      </c>
      <c r="M176" s="11"/>
    </row>
    <row r="177" spans="2:13" ht="15">
      <c r="B177" s="38" t="s">
        <v>69</v>
      </c>
      <c r="D177" s="57"/>
      <c r="E177" s="57"/>
      <c r="F177" s="57"/>
      <c r="G177" s="57"/>
      <c r="H177" s="57"/>
      <c r="I177" s="57"/>
      <c r="J177" s="57"/>
      <c r="K177" s="57"/>
      <c r="L177" s="57"/>
      <c r="M177" s="11"/>
    </row>
    <row r="178" spans="2:13" ht="15">
      <c r="B178" s="37" t="s">
        <v>70</v>
      </c>
      <c r="D178" s="47">
        <v>-23858</v>
      </c>
      <c r="E178" s="47">
        <v>-88638</v>
      </c>
      <c r="F178" s="47">
        <v>-68525</v>
      </c>
      <c r="G178" s="46">
        <v>-17627</v>
      </c>
      <c r="H178" s="46">
        <v>-194911</v>
      </c>
      <c r="I178" s="46">
        <v>-257119</v>
      </c>
      <c r="J178" s="46">
        <v>-176312</v>
      </c>
      <c r="K178" s="46">
        <v>-112174</v>
      </c>
      <c r="L178" s="46">
        <v>-113076</v>
      </c>
      <c r="M178" s="11"/>
    </row>
    <row r="179" spans="2:13" ht="15">
      <c r="B179" s="37" t="s">
        <v>6</v>
      </c>
      <c r="D179" s="47">
        <v>-3558</v>
      </c>
      <c r="E179" s="47">
        <v>-2485</v>
      </c>
      <c r="F179" s="47">
        <v>-4467</v>
      </c>
      <c r="G179" s="46">
        <v>-4597</v>
      </c>
      <c r="H179" s="46">
        <v>-18131</v>
      </c>
      <c r="I179" s="46">
        <v>1121</v>
      </c>
      <c r="J179" s="46">
        <v>-2079</v>
      </c>
      <c r="K179" s="46">
        <v>-22028</v>
      </c>
      <c r="L179" s="46">
        <v>4212</v>
      </c>
      <c r="M179" s="11"/>
    </row>
    <row r="180" spans="2:13" ht="15">
      <c r="B180" s="37" t="s">
        <v>7</v>
      </c>
      <c r="D180" s="47">
        <v>-8067</v>
      </c>
      <c r="E180" s="47">
        <v>-2820</v>
      </c>
      <c r="F180" s="47">
        <v>-320</v>
      </c>
      <c r="G180" s="46">
        <v>-3704</v>
      </c>
      <c r="H180" s="46">
        <v>-19889</v>
      </c>
      <c r="I180" s="46">
        <v>14259</v>
      </c>
      <c r="J180" s="46">
        <v>-1356</v>
      </c>
      <c r="K180" s="46">
        <v>13859</v>
      </c>
      <c r="L180" s="46">
        <v>-2084</v>
      </c>
      <c r="M180" s="11"/>
    </row>
    <row r="181" spans="2:13" ht="15">
      <c r="B181" s="37" t="s">
        <v>40</v>
      </c>
      <c r="D181" s="47">
        <v>806</v>
      </c>
      <c r="E181" s="47">
        <v>-10609</v>
      </c>
      <c r="F181" s="47">
        <v>-2586</v>
      </c>
      <c r="G181" s="46">
        <v>-6596</v>
      </c>
      <c r="H181" s="46">
        <v>-17826</v>
      </c>
      <c r="I181" s="46">
        <v>6531</v>
      </c>
      <c r="J181" s="46">
        <v>-2695</v>
      </c>
      <c r="K181" s="46">
        <v>-9489</v>
      </c>
      <c r="L181" s="46">
        <v>1856</v>
      </c>
      <c r="M181" s="11"/>
    </row>
    <row r="182" spans="2:13" ht="15">
      <c r="B182" s="37" t="s">
        <v>11</v>
      </c>
      <c r="D182" s="47">
        <v>7786</v>
      </c>
      <c r="E182" s="47">
        <v>-2811</v>
      </c>
      <c r="F182" s="47">
        <v>7458</v>
      </c>
      <c r="G182" s="46">
        <v>14571</v>
      </c>
      <c r="H182" s="46">
        <v>-3777</v>
      </c>
      <c r="I182" s="46">
        <v>4404</v>
      </c>
      <c r="J182" s="46">
        <v>10950</v>
      </c>
      <c r="K182" s="46">
        <v>22804</v>
      </c>
      <c r="L182" s="46">
        <v>3818</v>
      </c>
      <c r="M182" s="11"/>
    </row>
    <row r="183" spans="2:13" ht="15">
      <c r="B183" s="37" t="s">
        <v>48</v>
      </c>
      <c r="D183" s="47">
        <v>1326</v>
      </c>
      <c r="E183" s="47">
        <v>2023</v>
      </c>
      <c r="F183" s="47">
        <v>1599</v>
      </c>
      <c r="G183" s="46">
        <v>2468</v>
      </c>
      <c r="H183" s="46">
        <v>16248</v>
      </c>
      <c r="I183" s="46">
        <v>4375</v>
      </c>
      <c r="J183" s="46">
        <v>730</v>
      </c>
      <c r="K183" s="46">
        <v>8315</v>
      </c>
      <c r="L183" s="46">
        <v>10885</v>
      </c>
      <c r="M183" s="11"/>
    </row>
    <row r="184" spans="2:13" ht="15">
      <c r="B184" s="37" t="s">
        <v>49</v>
      </c>
      <c r="D184" s="47">
        <v>-3623</v>
      </c>
      <c r="E184" s="47">
        <v>391</v>
      </c>
      <c r="F184" s="47">
        <v>-2276</v>
      </c>
      <c r="G184" s="46">
        <v>85773</v>
      </c>
      <c r="H184" s="46">
        <v>51355</v>
      </c>
      <c r="I184" s="46">
        <v>44991</v>
      </c>
      <c r="J184" s="46">
        <v>17291</v>
      </c>
      <c r="K184" s="46">
        <v>54168</v>
      </c>
      <c r="L184" s="46">
        <v>35405</v>
      </c>
      <c r="M184" s="11"/>
    </row>
    <row r="185" spans="2:13" ht="15">
      <c r="B185" s="37" t="s">
        <v>71</v>
      </c>
      <c r="D185" s="47">
        <v>0</v>
      </c>
      <c r="E185" s="47">
        <v>0</v>
      </c>
      <c r="F185" s="47">
        <v>-2630</v>
      </c>
      <c r="G185" s="46">
        <v>-8096</v>
      </c>
      <c r="H185" s="46">
        <v>-6141</v>
      </c>
      <c r="I185" s="46">
        <v>-6005</v>
      </c>
      <c r="J185" s="46">
        <v>-6956</v>
      </c>
      <c r="K185" s="46">
        <v>-5794</v>
      </c>
      <c r="L185" s="46">
        <v>-246</v>
      </c>
      <c r="M185" s="11"/>
    </row>
    <row r="186" spans="2:13" ht="15">
      <c r="B186" s="37" t="s">
        <v>379</v>
      </c>
      <c r="D186" s="47"/>
      <c r="E186" s="47"/>
      <c r="F186" s="47"/>
      <c r="G186" s="46"/>
      <c r="H186" s="46">
        <v>0</v>
      </c>
      <c r="I186" s="46">
        <v>0</v>
      </c>
      <c r="J186" s="46">
        <v>-39995</v>
      </c>
      <c r="K186" s="46">
        <v>0</v>
      </c>
      <c r="L186" s="46"/>
      <c r="M186" s="11"/>
    </row>
    <row r="187" spans="2:13" ht="15">
      <c r="B187" s="37" t="s">
        <v>15</v>
      </c>
      <c r="D187" s="47">
        <v>-2560</v>
      </c>
      <c r="E187" s="47">
        <v>-438</v>
      </c>
      <c r="F187" s="47">
        <v>148</v>
      </c>
      <c r="G187" s="46">
        <v>2058</v>
      </c>
      <c r="H187" s="46">
        <v>-19281</v>
      </c>
      <c r="I187" s="46">
        <v>-6699</v>
      </c>
      <c r="J187" s="46">
        <v>-5815</v>
      </c>
      <c r="K187" s="46">
        <v>-4102</v>
      </c>
      <c r="L187" s="46">
        <v>1287</v>
      </c>
      <c r="M187" s="11"/>
    </row>
    <row r="188" spans="2:13" ht="15">
      <c r="B188" s="30"/>
      <c r="D188" s="58">
        <f>SUM(D176:D187)</f>
        <v>242084.65302999999</v>
      </c>
      <c r="E188" s="58">
        <f t="shared" ref="E188:G188" si="171">SUM(E176:E187)</f>
        <v>183565.99999999994</v>
      </c>
      <c r="F188" s="58">
        <f t="shared" si="171"/>
        <v>158494</v>
      </c>
      <c r="G188" s="58">
        <f t="shared" si="171"/>
        <v>297700.8</v>
      </c>
      <c r="H188" s="58">
        <f>SUM(H176:H187)</f>
        <v>271467</v>
      </c>
      <c r="I188" s="58">
        <f>SUM(I176:I187)</f>
        <v>346428</v>
      </c>
      <c r="J188" s="58">
        <v>307445</v>
      </c>
      <c r="K188" s="58">
        <v>414382</v>
      </c>
      <c r="L188" s="58">
        <v>220290</v>
      </c>
      <c r="M188" s="11"/>
    </row>
    <row r="189" spans="2:13" ht="15">
      <c r="B189" s="37" t="s">
        <v>72</v>
      </c>
      <c r="D189" s="47">
        <v>-61041</v>
      </c>
      <c r="E189" s="47">
        <v>-65514</v>
      </c>
      <c r="F189" s="47">
        <v>-70455</v>
      </c>
      <c r="G189" s="46">
        <v>-116365</v>
      </c>
      <c r="H189" s="46">
        <v>-31458</v>
      </c>
      <c r="I189" s="46">
        <v>-35092</v>
      </c>
      <c r="J189" s="46">
        <v>-20459</v>
      </c>
      <c r="K189" s="46">
        <v>-39467</v>
      </c>
      <c r="L189" s="46">
        <v>-33669</v>
      </c>
      <c r="M189" s="11"/>
    </row>
    <row r="190" spans="2:13" ht="15">
      <c r="B190" s="37" t="s">
        <v>73</v>
      </c>
      <c r="D190" s="47">
        <v>-11983</v>
      </c>
      <c r="E190" s="47">
        <v>-17129</v>
      </c>
      <c r="F190" s="47">
        <v>-7977</v>
      </c>
      <c r="G190" s="46">
        <v>-28129.499199999998</v>
      </c>
      <c r="H190" s="46">
        <v>-141687</v>
      </c>
      <c r="I190" s="46">
        <v>-154127</v>
      </c>
      <c r="J190" s="46">
        <v>-154552</v>
      </c>
      <c r="K190" s="46">
        <v>-151075</v>
      </c>
      <c r="L190" s="46">
        <v>-99819</v>
      </c>
      <c r="M190" s="11"/>
    </row>
    <row r="191" spans="2:13" ht="15">
      <c r="B191" s="38" t="s">
        <v>74</v>
      </c>
      <c r="D191" s="51">
        <f t="shared" ref="D191:I191" si="172">SUM(D188,D189,D190)</f>
        <v>169060.65302999999</v>
      </c>
      <c r="E191" s="51">
        <f t="shared" si="172"/>
        <v>100922.99999999994</v>
      </c>
      <c r="F191" s="51">
        <f t="shared" si="172"/>
        <v>80062</v>
      </c>
      <c r="G191" s="51">
        <f t="shared" si="172"/>
        <v>153206.3008</v>
      </c>
      <c r="H191" s="51">
        <f t="shared" si="172"/>
        <v>98322</v>
      </c>
      <c r="I191" s="51">
        <f t="shared" si="172"/>
        <v>157209</v>
      </c>
      <c r="J191" s="51">
        <v>132434</v>
      </c>
      <c r="K191" s="51">
        <v>224333</v>
      </c>
      <c r="L191" s="51">
        <v>86802</v>
      </c>
      <c r="M191" s="11"/>
    </row>
    <row r="192" spans="2:13" ht="15">
      <c r="B192" s="39" t="s">
        <v>75</v>
      </c>
      <c r="D192" s="59"/>
      <c r="E192" s="59"/>
      <c r="F192" s="59"/>
      <c r="G192" s="59"/>
      <c r="H192" s="59"/>
      <c r="I192" s="59"/>
      <c r="J192" s="59"/>
      <c r="K192" s="59"/>
      <c r="L192" s="59"/>
      <c r="M192" s="11"/>
    </row>
    <row r="193" spans="2:13" ht="15">
      <c r="B193" s="37" t="s">
        <v>13</v>
      </c>
      <c r="D193" s="46">
        <v>-149773</v>
      </c>
      <c r="E193" s="46">
        <v>-97129</v>
      </c>
      <c r="F193" s="46">
        <v>-23115</v>
      </c>
      <c r="G193" s="46">
        <v>-113890</v>
      </c>
      <c r="H193" s="46">
        <v>-199972</v>
      </c>
      <c r="I193" s="46">
        <v>-154466</v>
      </c>
      <c r="J193" s="46">
        <v>-188412</v>
      </c>
      <c r="K193" s="46">
        <v>-47569</v>
      </c>
      <c r="L193" s="46">
        <v>-32318</v>
      </c>
      <c r="M193" s="11"/>
    </row>
    <row r="194" spans="2:13" ht="15">
      <c r="B194" s="37" t="s">
        <v>76</v>
      </c>
      <c r="D194" s="47">
        <v>-2331</v>
      </c>
      <c r="E194" s="47">
        <v>-699</v>
      </c>
      <c r="F194" s="47">
        <v>-942</v>
      </c>
      <c r="G194" s="46">
        <v>-10041</v>
      </c>
      <c r="H194" s="46">
        <v>-15956</v>
      </c>
      <c r="I194" s="46">
        <v>-13602</v>
      </c>
      <c r="J194" s="46">
        <v>-12045</v>
      </c>
      <c r="K194" s="46">
        <v>-13351</v>
      </c>
      <c r="L194" s="46">
        <v>-6236</v>
      </c>
      <c r="M194" s="11"/>
    </row>
    <row r="195" spans="2:13" ht="15">
      <c r="B195" s="37" t="s">
        <v>42</v>
      </c>
      <c r="D195" s="47">
        <v>0</v>
      </c>
      <c r="E195" s="47">
        <v>0</v>
      </c>
      <c r="F195" s="47">
        <v>-52222</v>
      </c>
      <c r="G195" s="46">
        <v>-221950</v>
      </c>
      <c r="H195" s="46">
        <v>-130255</v>
      </c>
      <c r="I195" s="46">
        <v>-28287</v>
      </c>
      <c r="J195" s="46">
        <v>-13381</v>
      </c>
      <c r="K195" s="46"/>
      <c r="L195" s="46"/>
      <c r="M195" s="11"/>
    </row>
    <row r="196" spans="2:13" ht="15">
      <c r="B196" s="37" t="s">
        <v>356</v>
      </c>
      <c r="D196" s="47">
        <v>0</v>
      </c>
      <c r="E196" s="47">
        <v>0</v>
      </c>
      <c r="F196" s="47">
        <v>0</v>
      </c>
      <c r="G196" s="47">
        <v>0</v>
      </c>
      <c r="H196" s="47">
        <v>0</v>
      </c>
      <c r="I196" s="47">
        <v>0</v>
      </c>
      <c r="J196" s="47">
        <v>-95</v>
      </c>
      <c r="K196" s="47"/>
      <c r="L196" s="47">
        <v>-471</v>
      </c>
      <c r="M196" s="11"/>
    </row>
    <row r="197" spans="2:13" ht="15">
      <c r="B197" s="37" t="s">
        <v>389</v>
      </c>
      <c r="D197" s="47">
        <v>0</v>
      </c>
      <c r="E197" s="47">
        <v>0</v>
      </c>
      <c r="F197" s="47">
        <v>0</v>
      </c>
      <c r="G197" s="46">
        <v>6328</v>
      </c>
      <c r="H197" s="46">
        <v>23868</v>
      </c>
      <c r="I197" s="46">
        <v>388</v>
      </c>
      <c r="J197" s="46">
        <v>-12541</v>
      </c>
      <c r="K197" s="46"/>
      <c r="L197" s="46"/>
      <c r="M197" s="11"/>
    </row>
    <row r="198" spans="2:13" ht="15">
      <c r="B198" s="37" t="s">
        <v>267</v>
      </c>
      <c r="D198" s="47">
        <v>0</v>
      </c>
      <c r="E198" s="47">
        <v>0</v>
      </c>
      <c r="F198" s="47">
        <v>0</v>
      </c>
      <c r="G198" s="46">
        <v>-824220</v>
      </c>
      <c r="H198" s="46">
        <v>-640181</v>
      </c>
      <c r="I198" s="46">
        <v>-41785</v>
      </c>
      <c r="J198" s="46">
        <v>-28026</v>
      </c>
      <c r="K198" s="46">
        <v>-35178</v>
      </c>
      <c r="L198" s="46">
        <v>-24730</v>
      </c>
      <c r="M198" s="11"/>
    </row>
    <row r="199" spans="2:13" ht="15">
      <c r="B199" s="37" t="s">
        <v>381</v>
      </c>
      <c r="D199" s="47"/>
      <c r="E199" s="47"/>
      <c r="F199" s="47"/>
      <c r="G199" s="46"/>
      <c r="H199" s="46"/>
      <c r="I199" s="46"/>
      <c r="J199" s="46">
        <v>401261</v>
      </c>
      <c r="K199" s="46"/>
      <c r="L199" s="46"/>
      <c r="M199" s="11"/>
    </row>
    <row r="200" spans="2:13" ht="15">
      <c r="B200" s="37" t="s">
        <v>77</v>
      </c>
      <c r="D200" s="47">
        <v>-21101</v>
      </c>
      <c r="E200" s="47">
        <v>-17055</v>
      </c>
      <c r="F200" s="47">
        <v>-9952</v>
      </c>
      <c r="G200" s="46">
        <v>-72145</v>
      </c>
      <c r="H200" s="46">
        <v>218041</v>
      </c>
      <c r="I200" s="46">
        <v>73084</v>
      </c>
      <c r="J200" s="46">
        <v>69497</v>
      </c>
      <c r="K200" s="46">
        <v>109878</v>
      </c>
      <c r="L200" s="46">
        <v>35069</v>
      </c>
      <c r="M200" s="11"/>
    </row>
    <row r="201" spans="2:13" ht="15">
      <c r="B201" s="38" t="s">
        <v>78</v>
      </c>
      <c r="D201" s="51">
        <f t="shared" ref="D201:K201" si="173">SUM(D193:D200)</f>
        <v>-173205</v>
      </c>
      <c r="E201" s="51">
        <f t="shared" si="173"/>
        <v>-114883</v>
      </c>
      <c r="F201" s="51">
        <f t="shared" si="173"/>
        <v>-86231</v>
      </c>
      <c r="G201" s="51">
        <f t="shared" si="173"/>
        <v>-1235918</v>
      </c>
      <c r="H201" s="51">
        <f t="shared" si="173"/>
        <v>-744455</v>
      </c>
      <c r="I201" s="51">
        <f t="shared" si="173"/>
        <v>-164668</v>
      </c>
      <c r="J201" s="51">
        <f t="shared" si="173"/>
        <v>216258</v>
      </c>
      <c r="K201" s="51">
        <f t="shared" si="173"/>
        <v>13780</v>
      </c>
      <c r="L201" s="51">
        <v>-28686</v>
      </c>
      <c r="M201" s="11"/>
    </row>
    <row r="202" spans="2:13" ht="15">
      <c r="B202" s="39" t="s">
        <v>79</v>
      </c>
      <c r="D202" s="47"/>
      <c r="E202" s="47"/>
      <c r="F202" s="47"/>
      <c r="G202" s="47"/>
      <c r="H202" s="47"/>
      <c r="I202" s="47"/>
      <c r="J202" s="47"/>
      <c r="K202" s="47"/>
      <c r="L202" s="47"/>
      <c r="M202" s="11"/>
    </row>
    <row r="203" spans="2:13" ht="15">
      <c r="B203" s="37" t="s">
        <v>80</v>
      </c>
      <c r="D203" s="46">
        <v>72164</v>
      </c>
      <c r="E203" s="46">
        <v>45002</v>
      </c>
      <c r="F203" s="46">
        <v>54586</v>
      </c>
      <c r="G203" s="46">
        <v>914000</v>
      </c>
      <c r="H203" s="46">
        <v>106201</v>
      </c>
      <c r="I203" s="46">
        <v>82484</v>
      </c>
      <c r="J203" s="46">
        <v>208519</v>
      </c>
      <c r="K203" s="46">
        <v>700000</v>
      </c>
      <c r="L203" s="46"/>
      <c r="M203" s="11"/>
    </row>
    <row r="204" spans="2:13" ht="15">
      <c r="B204" s="37" t="s">
        <v>81</v>
      </c>
      <c r="D204" s="47">
        <v>-28436</v>
      </c>
      <c r="E204" s="47">
        <v>-31318</v>
      </c>
      <c r="F204" s="47">
        <v>-20369</v>
      </c>
      <c r="G204" s="46">
        <v>-61263</v>
      </c>
      <c r="H204" s="46">
        <v>-118478</v>
      </c>
      <c r="I204" s="46">
        <v>-29344</v>
      </c>
      <c r="J204" s="46">
        <v>-39157</v>
      </c>
      <c r="K204" s="46">
        <v>-765908</v>
      </c>
      <c r="L204" s="46">
        <v>-34621</v>
      </c>
      <c r="M204" s="11"/>
    </row>
    <row r="205" spans="2:13" ht="15">
      <c r="B205" s="37" t="s">
        <v>82</v>
      </c>
      <c r="D205" s="47">
        <v>0</v>
      </c>
      <c r="E205" s="47">
        <v>-1180</v>
      </c>
      <c r="F205" s="47">
        <v>-2843</v>
      </c>
      <c r="G205" s="46">
        <v>-8024.5008000000016</v>
      </c>
      <c r="H205" s="46">
        <v>-28045</v>
      </c>
      <c r="I205" s="46">
        <v>-31870</v>
      </c>
      <c r="J205" s="46">
        <v>-34712</v>
      </c>
      <c r="K205" s="46">
        <v>-24822</v>
      </c>
      <c r="L205" s="46">
        <v>-14283</v>
      </c>
      <c r="M205" s="11"/>
    </row>
    <row r="206" spans="2:13" ht="15">
      <c r="B206" s="37" t="s">
        <v>83</v>
      </c>
      <c r="D206" s="47">
        <v>0</v>
      </c>
      <c r="E206" s="47">
        <v>0</v>
      </c>
      <c r="F206" s="47">
        <v>2579</v>
      </c>
      <c r="G206" s="46">
        <v>3721</v>
      </c>
      <c r="H206" s="46">
        <v>-6359</v>
      </c>
      <c r="I206" s="46">
        <v>-8341</v>
      </c>
      <c r="J206" s="46">
        <v>-836</v>
      </c>
      <c r="K206" s="46">
        <v>-10686</v>
      </c>
      <c r="L206" s="46">
        <v>-2809</v>
      </c>
      <c r="M206" s="11"/>
    </row>
    <row r="207" spans="2:13" ht="15">
      <c r="B207" s="37" t="s">
        <v>195</v>
      </c>
      <c r="D207" s="47">
        <v>0</v>
      </c>
      <c r="E207" s="47">
        <v>0</v>
      </c>
      <c r="F207" s="47">
        <v>0</v>
      </c>
      <c r="G207" s="46">
        <v>1140564</v>
      </c>
      <c r="H207" s="46">
        <v>0</v>
      </c>
      <c r="I207" s="46">
        <v>0</v>
      </c>
      <c r="J207" s="46">
        <v>0</v>
      </c>
      <c r="K207" s="46"/>
      <c r="L207" s="46"/>
      <c r="M207" s="11"/>
    </row>
    <row r="208" spans="2:13" ht="15">
      <c r="B208" s="37" t="s">
        <v>390</v>
      </c>
      <c r="D208" s="47"/>
      <c r="E208" s="47"/>
      <c r="F208" s="47"/>
      <c r="G208" s="46"/>
      <c r="H208" s="46">
        <v>0</v>
      </c>
      <c r="I208" s="46">
        <v>0</v>
      </c>
      <c r="J208" s="46">
        <v>416</v>
      </c>
      <c r="K208" s="46"/>
      <c r="L208" s="46">
        <v>0</v>
      </c>
      <c r="M208" s="11"/>
    </row>
    <row r="209" spans="2:13" ht="15">
      <c r="B209" s="37" t="s">
        <v>330</v>
      </c>
      <c r="D209" s="47">
        <v>0</v>
      </c>
      <c r="E209" s="47">
        <v>0</v>
      </c>
      <c r="F209" s="47">
        <v>0</v>
      </c>
      <c r="G209" s="46">
        <v>0</v>
      </c>
      <c r="H209" s="46">
        <v>-1962</v>
      </c>
      <c r="I209" s="46">
        <v>0</v>
      </c>
      <c r="J209" s="46">
        <v>-59225</v>
      </c>
      <c r="K209" s="46">
        <v>-39389</v>
      </c>
      <c r="L209" s="46">
        <v>-6074</v>
      </c>
      <c r="M209" s="11"/>
    </row>
    <row r="210" spans="2:13" ht="15">
      <c r="B210" s="37" t="s">
        <v>402</v>
      </c>
      <c r="D210" s="47"/>
      <c r="E210" s="47"/>
      <c r="F210" s="47"/>
      <c r="G210" s="46"/>
      <c r="H210" s="46"/>
      <c r="I210" s="46"/>
      <c r="J210" s="46"/>
      <c r="K210" s="46">
        <v>-55986</v>
      </c>
      <c r="L210" s="46"/>
      <c r="M210" s="11"/>
    </row>
    <row r="211" spans="2:13" ht="15">
      <c r="B211" s="37" t="s">
        <v>396</v>
      </c>
      <c r="D211" s="47">
        <v>-22139</v>
      </c>
      <c r="E211" s="47">
        <v>-47893</v>
      </c>
      <c r="F211" s="47">
        <v>-30248</v>
      </c>
      <c r="G211" s="46">
        <v>-27293</v>
      </c>
      <c r="H211" s="46">
        <v>-59010</v>
      </c>
      <c r="I211" s="46">
        <v>-24582</v>
      </c>
      <c r="J211" s="46">
        <v>-28418</v>
      </c>
      <c r="K211" s="46">
        <v>-64773</v>
      </c>
      <c r="L211" s="46">
        <v>443</v>
      </c>
      <c r="M211" s="11"/>
    </row>
    <row r="212" spans="2:13" ht="15">
      <c r="B212" s="38" t="s">
        <v>189</v>
      </c>
      <c r="D212" s="51">
        <f t="shared" ref="D212:K212" si="174">SUM(D203:D211)</f>
        <v>21589</v>
      </c>
      <c r="E212" s="51">
        <f t="shared" si="174"/>
        <v>-35389</v>
      </c>
      <c r="F212" s="51">
        <f t="shared" si="174"/>
        <v>3705</v>
      </c>
      <c r="G212" s="51">
        <f t="shared" si="174"/>
        <v>1961704.4992</v>
      </c>
      <c r="H212" s="51">
        <f t="shared" si="174"/>
        <v>-107653</v>
      </c>
      <c r="I212" s="51">
        <f t="shared" si="174"/>
        <v>-11653</v>
      </c>
      <c r="J212" s="51">
        <f t="shared" si="174"/>
        <v>46587</v>
      </c>
      <c r="K212" s="51">
        <f t="shared" si="174"/>
        <v>-261564</v>
      </c>
      <c r="L212" s="51">
        <v>-57344</v>
      </c>
      <c r="M212" s="11"/>
    </row>
    <row r="213" spans="2:13" ht="17.100000000000001" customHeight="1">
      <c r="M213" s="11"/>
    </row>
    <row r="214" spans="2:13" ht="15">
      <c r="B214" s="38" t="s">
        <v>188</v>
      </c>
      <c r="D214" s="51">
        <f t="shared" ref="D214:K214" si="175">SUM(D191,D201,D212)</f>
        <v>17444.653029999987</v>
      </c>
      <c r="E214" s="51">
        <f t="shared" si="175"/>
        <v>-49349.000000000058</v>
      </c>
      <c r="F214" s="51">
        <f t="shared" si="175"/>
        <v>-2464</v>
      </c>
      <c r="G214" s="51">
        <f t="shared" si="175"/>
        <v>878992.8</v>
      </c>
      <c r="H214" s="51">
        <f t="shared" si="175"/>
        <v>-753786</v>
      </c>
      <c r="I214" s="51">
        <f t="shared" si="175"/>
        <v>-19112</v>
      </c>
      <c r="J214" s="51">
        <f t="shared" si="175"/>
        <v>395279</v>
      </c>
      <c r="K214" s="51">
        <f t="shared" si="175"/>
        <v>-23451</v>
      </c>
      <c r="L214" s="51">
        <v>772</v>
      </c>
      <c r="M214" s="11"/>
    </row>
    <row r="215" spans="2:13" ht="15">
      <c r="B215" s="37" t="s">
        <v>84</v>
      </c>
      <c r="D215" s="47">
        <v>155575</v>
      </c>
      <c r="E215" s="47">
        <f>D216</f>
        <v>173020</v>
      </c>
      <c r="F215" s="47">
        <f>E216</f>
        <v>123671</v>
      </c>
      <c r="G215" s="47">
        <f>F216</f>
        <v>121207</v>
      </c>
      <c r="H215" s="47">
        <f>G216</f>
        <v>1000200</v>
      </c>
      <c r="I215" s="47">
        <v>246414</v>
      </c>
      <c r="J215" s="47">
        <v>227302</v>
      </c>
      <c r="K215" s="93">
        <v>622581</v>
      </c>
      <c r="L215" s="93">
        <v>599130</v>
      </c>
      <c r="M215" s="11"/>
    </row>
    <row r="216" spans="2:13" ht="15">
      <c r="B216" s="37" t="s">
        <v>85</v>
      </c>
      <c r="D216" s="47">
        <f>D87</f>
        <v>173020</v>
      </c>
      <c r="E216" s="47">
        <f>E87</f>
        <v>123671</v>
      </c>
      <c r="F216" s="47">
        <f>F87</f>
        <v>121207</v>
      </c>
      <c r="G216" s="47">
        <f>G87</f>
        <v>1000200</v>
      </c>
      <c r="H216" s="47">
        <f>Y87</f>
        <v>246414</v>
      </c>
      <c r="I216" s="47">
        <v>227302</v>
      </c>
      <c r="J216" s="47">
        <v>622581</v>
      </c>
      <c r="K216" s="93">
        <v>599130</v>
      </c>
      <c r="L216" s="93">
        <v>599902</v>
      </c>
      <c r="M216" s="11"/>
    </row>
    <row r="217" spans="2:13" ht="15">
      <c r="B217" s="38" t="s">
        <v>188</v>
      </c>
      <c r="D217" s="51">
        <f t="shared" ref="D217:G217" si="176">D216-D215</f>
        <v>17445</v>
      </c>
      <c r="E217" s="51">
        <f t="shared" si="176"/>
        <v>-49349</v>
      </c>
      <c r="F217" s="51">
        <f t="shared" si="176"/>
        <v>-2464</v>
      </c>
      <c r="G217" s="51">
        <f t="shared" si="176"/>
        <v>878993</v>
      </c>
      <c r="H217" s="85">
        <f>H216-H215</f>
        <v>-753786</v>
      </c>
      <c r="I217" s="85">
        <f>I216-I215</f>
        <v>-19112</v>
      </c>
      <c r="J217" s="85">
        <f>J216-J215</f>
        <v>395279</v>
      </c>
      <c r="K217" s="100">
        <v>-23451</v>
      </c>
      <c r="L217" s="100">
        <v>772</v>
      </c>
      <c r="M217" s="11"/>
    </row>
  </sheetData>
  <phoneticPr fontId="68" type="noConversion"/>
  <pageMargins left="0.25" right="0.25" top="0.75" bottom="0.75" header="0.3" footer="0.3"/>
  <pageSetup paperSize="9" orientation="landscape" r:id="rId1"/>
  <ignoredErrors>
    <ignoredError sqref="Y146 AA146 D83:I83 D46:G46 D78:F80 H216 D84:H84 D47:F47 D81:H82 H126 Q98:Q111 AB51 AD99:AD110 AC111 AC126 AC139 AC146:AC149 AC152:AC154 AC155:AD157 AC95:AD95 Q95 AD98 D58:F73 D49:F53 AC99:AC110 AC98" formula="1"/>
    <ignoredError sqref="D17:H17 D18:G20 N22:AA23 AB32 N30:AA32 N29:Y29 N38:AA42 N28:Z28 N27:Y27 N24:Z24 N35:Y36 AA36 N17:AC17 D22:G36 D21:F21 N18:U21 H18:H36 H47 N26:Z26 N25:Y25 N34:AA34 N33:Y33 AA33 N44:AA45 N43:Y43 AA43 AC22:AC23 AC30:AC32 AC38 AC42 AC44:AC45 AE17 AC79:AD81 J63:J64 AF22:AG22 J48:J49 J146" formulaRange="1"/>
    <ignoredError sqref="D39:G40 G49:I49 G47 G52:H53 G51:H51 G61 G60 G50:H50 G66:I68 G65:H65 G70:I71 G69:H69 G80:H80 D38:F38 D43:G45 D41:F41 D42:F42 G63:I64 G62 G59:H59 G58 G79:I79 G72:H72 G73:H73 H38:H46 AD111 G78:H78" formula="1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9B4C5-4E38-420F-9981-374FF786B102}">
  <sheetPr codeName="Planilha2">
    <tabColor rgb="FF198F83"/>
    <outlinePr summaryBelow="0"/>
  </sheetPr>
  <dimension ref="A3:AM217"/>
  <sheetViews>
    <sheetView showGridLines="0" zoomScale="115" zoomScaleNormal="115" workbookViewId="0">
      <pane xSplit="2" ySplit="6" topLeftCell="H194" activePane="bottomRight" state="frozen"/>
      <selection pane="topRight" activeCell="C1" sqref="C1"/>
      <selection pane="bottomLeft" activeCell="A7" sqref="A7"/>
      <selection pane="bottomRight" activeCell="J198" sqref="J198"/>
    </sheetView>
  </sheetViews>
  <sheetFormatPr defaultColWidth="10.5703125" defaultRowHeight="15" outlineLevelCol="1"/>
  <cols>
    <col min="1" max="1" width="2" style="1" customWidth="1"/>
    <col min="2" max="2" width="75.5703125" style="1" customWidth="1"/>
    <col min="3" max="3" width="1.7109375" style="1" customWidth="1"/>
    <col min="4" max="7" width="16.7109375" style="1" hidden="1" customWidth="1" outlineLevel="1"/>
    <col min="8" max="8" width="16.7109375" style="1" customWidth="1" collapsed="1"/>
    <col min="9" max="12" width="16.7109375" style="1" customWidth="1"/>
    <col min="13" max="13" width="1.7109375" customWidth="1"/>
    <col min="14" max="15" width="16.7109375" hidden="1" customWidth="1" outlineLevel="1"/>
    <col min="16" max="21" width="16.7109375" style="1" hidden="1" customWidth="1" outlineLevel="1"/>
    <col min="22" max="22" width="16.7109375" style="1" hidden="1" customWidth="1" outlineLevel="1" collapsed="1"/>
    <col min="23" max="25" width="16.7109375" style="1" hidden="1" customWidth="1" outlineLevel="1"/>
    <col min="26" max="26" width="16.7109375" style="1" customWidth="1" collapsed="1"/>
    <col min="27" max="32" width="16.7109375" style="1" customWidth="1"/>
    <col min="33" max="33" width="16" style="1" customWidth="1"/>
    <col min="34" max="34" width="14.28515625" style="1" customWidth="1"/>
    <col min="35" max="37" width="12.42578125" style="1" bestFit="1" customWidth="1"/>
    <col min="38" max="38" width="11.85546875" style="1" bestFit="1" customWidth="1"/>
    <col min="39" max="39" width="12.42578125" bestFit="1" customWidth="1"/>
    <col min="40" max="16384" width="10.5703125" style="1"/>
  </cols>
  <sheetData>
    <row r="3" spans="2:39">
      <c r="E3"/>
      <c r="F3"/>
      <c r="G3"/>
      <c r="H3" s="11" t="s">
        <v>180</v>
      </c>
      <c r="I3"/>
      <c r="J3"/>
      <c r="K3"/>
      <c r="L3"/>
      <c r="P3"/>
      <c r="Q3"/>
      <c r="R3"/>
      <c r="S3"/>
      <c r="T3"/>
      <c r="U3"/>
      <c r="V3"/>
      <c r="W3"/>
      <c r="AI3"/>
      <c r="AJ3"/>
      <c r="AK3"/>
    </row>
    <row r="4" spans="2:39">
      <c r="H4" s="11" t="s">
        <v>181</v>
      </c>
      <c r="N4" s="1"/>
      <c r="O4" s="1"/>
    </row>
    <row r="5" spans="2:39">
      <c r="K5" s="43"/>
      <c r="L5" s="43"/>
      <c r="N5" s="1"/>
      <c r="O5" s="1"/>
    </row>
    <row r="6" spans="2:39" ht="15.75" thickBot="1">
      <c r="B6" s="62"/>
      <c r="D6" s="63">
        <v>2018</v>
      </c>
      <c r="E6" s="63">
        <v>2019</v>
      </c>
      <c r="F6" s="63">
        <v>2020</v>
      </c>
      <c r="G6" s="63">
        <v>2021</v>
      </c>
      <c r="H6" s="63">
        <v>2022</v>
      </c>
      <c r="I6" s="63">
        <v>2023</v>
      </c>
      <c r="J6" s="63">
        <v>2024</v>
      </c>
      <c r="K6" s="68">
        <v>2025</v>
      </c>
      <c r="L6" s="68" t="s">
        <v>412</v>
      </c>
      <c r="N6" s="63" t="s">
        <v>96</v>
      </c>
      <c r="O6" s="63" t="s">
        <v>196</v>
      </c>
      <c r="P6" s="63" t="s">
        <v>254</v>
      </c>
      <c r="Q6" s="63" t="s">
        <v>269</v>
      </c>
      <c r="R6" s="63" t="s">
        <v>97</v>
      </c>
      <c r="S6" s="63" t="s">
        <v>197</v>
      </c>
      <c r="T6" s="63" t="s">
        <v>257</v>
      </c>
      <c r="U6" s="63" t="s">
        <v>270</v>
      </c>
      <c r="V6" s="63" t="s">
        <v>292</v>
      </c>
      <c r="W6" s="63" t="s">
        <v>312</v>
      </c>
      <c r="X6" s="63" t="s">
        <v>319</v>
      </c>
      <c r="Y6" s="63" t="s">
        <v>332</v>
      </c>
      <c r="Z6" s="63" t="s">
        <v>338</v>
      </c>
      <c r="AA6" s="63" t="s">
        <v>341</v>
      </c>
      <c r="AB6" s="63" t="s">
        <v>344</v>
      </c>
      <c r="AC6" s="63" t="s">
        <v>351</v>
      </c>
      <c r="AD6" s="63" t="s">
        <v>354</v>
      </c>
      <c r="AE6" s="63" t="s">
        <v>366</v>
      </c>
      <c r="AF6" s="63" t="s">
        <v>375</v>
      </c>
      <c r="AG6" s="63" t="s">
        <v>387</v>
      </c>
      <c r="AH6" s="63" t="s">
        <v>393</v>
      </c>
      <c r="AI6" s="63" t="s">
        <v>398</v>
      </c>
      <c r="AJ6" s="63" t="s">
        <v>400</v>
      </c>
      <c r="AK6" s="63" t="s">
        <v>405</v>
      </c>
      <c r="AL6" s="63" t="s">
        <v>408</v>
      </c>
      <c r="AM6" s="63" t="s">
        <v>416</v>
      </c>
    </row>
    <row r="7" spans="2:39" ht="15.75" thickTop="1">
      <c r="B7" s="12" t="s">
        <v>98</v>
      </c>
      <c r="D7" s="13"/>
      <c r="E7" s="13"/>
      <c r="F7" s="13"/>
      <c r="G7" s="13"/>
      <c r="H7" s="13"/>
      <c r="I7" s="13"/>
      <c r="J7" s="13"/>
      <c r="K7" s="89"/>
      <c r="L7" s="89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2:39">
      <c r="B8" s="14" t="s">
        <v>210</v>
      </c>
      <c r="D8" s="5">
        <f>Português!D8</f>
        <v>675</v>
      </c>
      <c r="E8" s="5">
        <f>Português!E8</f>
        <v>1081</v>
      </c>
      <c r="F8" s="5">
        <f>Português!F8</f>
        <v>1081</v>
      </c>
      <c r="G8" s="5">
        <f>Português!G8</f>
        <v>1469</v>
      </c>
      <c r="H8" s="5">
        <f>Português!H8</f>
        <v>2497</v>
      </c>
      <c r="I8" s="5">
        <f>Português!I8</f>
        <v>2497</v>
      </c>
      <c r="J8" s="5">
        <v>2212</v>
      </c>
      <c r="K8" s="5">
        <v>2212</v>
      </c>
      <c r="L8" s="5">
        <v>2212</v>
      </c>
      <c r="N8" s="5">
        <f>Português!N8</f>
        <v>1081</v>
      </c>
      <c r="O8" s="5">
        <f>Português!O8</f>
        <v>1081</v>
      </c>
      <c r="P8" s="5">
        <f>Português!P8</f>
        <v>1081</v>
      </c>
      <c r="Q8" s="5">
        <f>Português!Q8</f>
        <v>1081</v>
      </c>
      <c r="R8" s="5">
        <f>Português!R8</f>
        <v>1081</v>
      </c>
      <c r="S8" s="5">
        <f>Português!S8</f>
        <v>1081</v>
      </c>
      <c r="T8" s="5">
        <f>Português!T8</f>
        <v>1081</v>
      </c>
      <c r="U8" s="5">
        <f>Português!U8</f>
        <v>1469</v>
      </c>
      <c r="V8" s="5">
        <f>Português!V8</f>
        <v>1829</v>
      </c>
      <c r="W8" s="5">
        <f>Português!W8</f>
        <v>2324</v>
      </c>
      <c r="X8" s="5">
        <f>Português!X8</f>
        <v>2497</v>
      </c>
      <c r="Y8" s="5">
        <f>Português!Y8</f>
        <v>2497</v>
      </c>
      <c r="Z8" s="5">
        <f>Português!Z8</f>
        <v>2497</v>
      </c>
      <c r="AA8" s="5">
        <f>Português!AA8</f>
        <v>2497</v>
      </c>
      <c r="AB8" s="5">
        <f>Português!AB8</f>
        <v>2497</v>
      </c>
      <c r="AC8" s="5">
        <f>Português!AC8</f>
        <v>2497</v>
      </c>
      <c r="AD8" s="5">
        <f>Português!AD8</f>
        <v>2497</v>
      </c>
      <c r="AE8" s="5">
        <f>Português!AE8</f>
        <v>2497</v>
      </c>
      <c r="AF8" s="5">
        <f>Português!AF8</f>
        <v>2212</v>
      </c>
      <c r="AG8" s="5">
        <v>2212</v>
      </c>
      <c r="AH8" s="5">
        <v>2212</v>
      </c>
      <c r="AI8" s="5">
        <v>2212</v>
      </c>
      <c r="AJ8" s="5">
        <v>2212</v>
      </c>
      <c r="AK8" s="5">
        <v>2212</v>
      </c>
      <c r="AL8" s="5">
        <v>2212</v>
      </c>
      <c r="AM8" s="5">
        <v>2212</v>
      </c>
    </row>
    <row r="9" spans="2:39">
      <c r="B9" s="14" t="s">
        <v>209</v>
      </c>
      <c r="D9" s="5">
        <f>Português!D9</f>
        <v>433</v>
      </c>
      <c r="E9" s="5">
        <f>Português!E9</f>
        <v>508.66027397260274</v>
      </c>
      <c r="F9" s="5">
        <f>Português!F9</f>
        <v>524.43989071038254</v>
      </c>
      <c r="G9" s="5">
        <f>Português!G9</f>
        <v>653</v>
      </c>
      <c r="H9" s="5">
        <f>Português!H9</f>
        <v>1290</v>
      </c>
      <c r="I9" s="5">
        <f>Português!I9</f>
        <v>1561.6273972602739</v>
      </c>
      <c r="J9" s="5">
        <v>1463.204918032787</v>
      </c>
      <c r="K9" s="5">
        <v>1212.7589041095889</v>
      </c>
      <c r="L9" s="5">
        <v>1197</v>
      </c>
      <c r="N9" s="5">
        <f>Português!N9</f>
        <v>515.5934065934066</v>
      </c>
      <c r="O9" s="5">
        <f>Português!O9</f>
        <v>497.76923076923077</v>
      </c>
      <c r="P9" s="5">
        <f>Português!P9</f>
        <v>515.0978260869565</v>
      </c>
      <c r="Q9" s="5">
        <f>Português!Q9</f>
        <v>569</v>
      </c>
      <c r="R9" s="5">
        <f>Português!R9</f>
        <v>624.4666666666667</v>
      </c>
      <c r="S9" s="5">
        <f>Português!S9</f>
        <v>646.32967032967031</v>
      </c>
      <c r="T9" s="5">
        <f>Português!T9</f>
        <v>573.97826086956525</v>
      </c>
      <c r="U9" s="5">
        <f>Português!U9</f>
        <v>767</v>
      </c>
      <c r="V9" s="5">
        <f>Português!V9</f>
        <v>967.33333333333337</v>
      </c>
      <c r="W9" s="5">
        <f>Português!W9</f>
        <v>1281</v>
      </c>
      <c r="X9" s="5">
        <f>Português!X9</f>
        <v>1411</v>
      </c>
      <c r="Y9" s="5">
        <f>Português!Y9</f>
        <v>1494</v>
      </c>
      <c r="Z9" s="5">
        <f>Português!Z9</f>
        <v>1533</v>
      </c>
      <c r="AA9" s="5">
        <f>Português!AA9</f>
        <v>1572</v>
      </c>
      <c r="AB9" s="5">
        <f>Português!AB9</f>
        <v>1590</v>
      </c>
      <c r="AC9" s="5">
        <f>Português!AC9</f>
        <v>1551</v>
      </c>
      <c r="AD9" s="5">
        <f>Português!AD9</f>
        <v>1534</v>
      </c>
      <c r="AE9" s="5">
        <f>Português!AE9</f>
        <v>1602</v>
      </c>
      <c r="AF9" s="5">
        <f>Português!AF9</f>
        <v>1532</v>
      </c>
      <c r="AG9" s="5">
        <v>1187.4239130434783</v>
      </c>
      <c r="AH9" s="5">
        <v>1166</v>
      </c>
      <c r="AI9" s="5">
        <v>1231</v>
      </c>
      <c r="AJ9" s="5">
        <v>1246</v>
      </c>
      <c r="AK9" s="5">
        <v>1207.0434782608695</v>
      </c>
      <c r="AL9" s="5">
        <v>1168</v>
      </c>
      <c r="AM9" s="5">
        <v>1225</v>
      </c>
    </row>
    <row r="10" spans="2:39">
      <c r="B10" s="14" t="s">
        <v>212</v>
      </c>
      <c r="D10" s="5">
        <f>Português!D10</f>
        <v>312.91780821917808</v>
      </c>
      <c r="E10" s="5">
        <f>Português!E10</f>
        <v>343.42739726027395</v>
      </c>
      <c r="F10" s="5">
        <f>Português!F10</f>
        <v>319.31147540983608</v>
      </c>
      <c r="G10" s="5">
        <f>Português!G10</f>
        <v>457</v>
      </c>
      <c r="H10" s="5">
        <f>Português!H10</f>
        <v>903</v>
      </c>
      <c r="I10" s="5">
        <f>Português!I10</f>
        <v>1107.7780821917809</v>
      </c>
      <c r="J10" s="5">
        <v>1097.3661202185792</v>
      </c>
      <c r="K10" s="5">
        <v>919.99178082191781</v>
      </c>
      <c r="L10" s="5">
        <v>940.84199999999998</v>
      </c>
      <c r="N10" s="5">
        <f>Português!N10</f>
        <v>326.82417582417582</v>
      </c>
      <c r="O10" s="5">
        <f>Português!O10</f>
        <v>261.92307692307691</v>
      </c>
      <c r="P10" s="5">
        <f>Português!P10</f>
        <v>326.78260869565213</v>
      </c>
      <c r="Q10" s="5">
        <f>Português!Q10</f>
        <v>361</v>
      </c>
      <c r="R10" s="5">
        <f>Português!R10</f>
        <v>425.46666666666664</v>
      </c>
      <c r="S10" s="5">
        <f>Português!S10</f>
        <v>482.60439560439562</v>
      </c>
      <c r="T10" s="5">
        <f>Português!T10</f>
        <v>389.57608695652175</v>
      </c>
      <c r="U10" s="5">
        <f>Português!U10</f>
        <v>531</v>
      </c>
      <c r="V10" s="5">
        <f>Português!V10</f>
        <v>725.71579999999994</v>
      </c>
      <c r="W10" s="5">
        <f>Português!W10</f>
        <v>906</v>
      </c>
      <c r="X10" s="5">
        <f>Português!X10</f>
        <v>974.70652173913038</v>
      </c>
      <c r="Y10" s="5">
        <f>Português!Y10</f>
        <v>1000.98</v>
      </c>
      <c r="Z10" s="5">
        <f>Português!Z10</f>
        <v>1084</v>
      </c>
      <c r="AA10" s="5">
        <f>Português!AA10</f>
        <v>1145</v>
      </c>
      <c r="AB10" s="5">
        <f>Português!AB10</f>
        <v>1107</v>
      </c>
      <c r="AC10" s="5">
        <f>Português!AC10</f>
        <v>1095</v>
      </c>
      <c r="AD10" s="5">
        <f>Português!AD10</f>
        <v>1214</v>
      </c>
      <c r="AE10" s="5">
        <f>Português!AE10</f>
        <v>1211</v>
      </c>
      <c r="AF10" s="5">
        <f>Português!AF10</f>
        <v>1115</v>
      </c>
      <c r="AG10" s="5">
        <v>851.63043478260875</v>
      </c>
      <c r="AH10" s="5">
        <v>865.17200000000003</v>
      </c>
      <c r="AI10" s="5">
        <v>959.79045485779557</v>
      </c>
      <c r="AJ10" s="5">
        <v>951</v>
      </c>
      <c r="AK10" s="5">
        <v>903.71739130434776</v>
      </c>
      <c r="AL10" s="5">
        <v>918.048</v>
      </c>
      <c r="AM10" s="5">
        <v>964.07500000000005</v>
      </c>
    </row>
    <row r="11" spans="2:39">
      <c r="B11" s="14" t="s">
        <v>213</v>
      </c>
      <c r="D11" s="6">
        <f t="shared" ref="D11:I11" si="0">D10/D9</f>
        <v>0.72267392198424496</v>
      </c>
      <c r="E11" s="6">
        <f t="shared" si="0"/>
        <v>0.67516064224581351</v>
      </c>
      <c r="F11" s="6">
        <f t="shared" si="0"/>
        <v>0.60886191356899111</v>
      </c>
      <c r="G11" s="6">
        <f t="shared" si="0"/>
        <v>0.69984686064318535</v>
      </c>
      <c r="H11" s="6">
        <f t="shared" si="0"/>
        <v>0.7</v>
      </c>
      <c r="I11" s="6">
        <f t="shared" si="0"/>
        <v>0.70937413376281155</v>
      </c>
      <c r="J11" s="6">
        <v>0.74997432464479308</v>
      </c>
      <c r="K11" s="8">
        <f>K10/K9</f>
        <v>0.75859412592594277</v>
      </c>
      <c r="L11" s="8">
        <v>0.78600000000000003</v>
      </c>
      <c r="N11" s="6">
        <f t="shared" ref="N11:P11" si="1">N10/N9</f>
        <v>0.63387966495449599</v>
      </c>
      <c r="O11" s="6">
        <f t="shared" si="1"/>
        <v>0.52619378766805747</v>
      </c>
      <c r="P11" s="6">
        <f t="shared" si="1"/>
        <v>0.63440882905315577</v>
      </c>
      <c r="Q11" s="6">
        <f t="shared" ref="Q11:T11" si="2">Q10/Q9</f>
        <v>0.63444639718804918</v>
      </c>
      <c r="R11" s="6">
        <f t="shared" si="2"/>
        <v>0.68132806661684631</v>
      </c>
      <c r="S11" s="6">
        <f t="shared" si="2"/>
        <v>0.74668457562568014</v>
      </c>
      <c r="T11" s="6">
        <f t="shared" si="2"/>
        <v>0.67872968980797632</v>
      </c>
      <c r="U11" s="6">
        <f t="shared" ref="U11:V11" si="3">U10/U9</f>
        <v>0.69230769230769229</v>
      </c>
      <c r="V11" s="6">
        <f t="shared" si="3"/>
        <v>0.75022308752584421</v>
      </c>
      <c r="W11" s="6">
        <f t="shared" ref="W11:X11" si="4">W10/W9</f>
        <v>0.70725995316159251</v>
      </c>
      <c r="X11" s="6">
        <f t="shared" si="4"/>
        <v>0.69079129818506757</v>
      </c>
      <c r="Y11" s="6">
        <f t="shared" ref="Y11:Z11" si="5">Y10/Y9</f>
        <v>0.67</v>
      </c>
      <c r="Z11" s="6">
        <f t="shared" si="5"/>
        <v>0.70711024135681666</v>
      </c>
      <c r="AA11" s="6">
        <f t="shared" ref="AA11:AB11" si="6">AA10/AA9</f>
        <v>0.72837150127226458</v>
      </c>
      <c r="AB11" s="6">
        <f t="shared" si="6"/>
        <v>0.69622641509433958</v>
      </c>
      <c r="AC11" s="6">
        <f t="shared" ref="AC11:AD11" si="7">AC10/AC9</f>
        <v>0.70599613152804641</v>
      </c>
      <c r="AD11" s="6">
        <f t="shared" si="7"/>
        <v>0.79139504563233376</v>
      </c>
      <c r="AE11" s="6">
        <f t="shared" ref="AE11:AF11" si="8">AE10/AE9</f>
        <v>0.75593008739076151</v>
      </c>
      <c r="AF11" s="6">
        <f t="shared" si="8"/>
        <v>0.72780678851174929</v>
      </c>
      <c r="AG11" s="6">
        <v>0.71720842525379203</v>
      </c>
      <c r="AH11" s="6">
        <v>0.74199999999999999</v>
      </c>
      <c r="AI11" s="6">
        <v>0.77968355390560162</v>
      </c>
      <c r="AJ11" s="6">
        <f>AJ10/AJ9</f>
        <v>0.7632423756019262</v>
      </c>
      <c r="AK11" s="6">
        <f>AK10/AK9</f>
        <v>0.74870326345364169</v>
      </c>
      <c r="AL11" s="6">
        <v>0.78600000000000003</v>
      </c>
      <c r="AM11" s="6">
        <v>0.78700000000000003</v>
      </c>
    </row>
    <row r="12" spans="2:39">
      <c r="B12" s="14" t="s">
        <v>214</v>
      </c>
      <c r="D12" s="7">
        <f>Português!D12</f>
        <v>2.1402808737906578</v>
      </c>
      <c r="E12" s="7">
        <f>Português!E12</f>
        <v>2.2715922090769123</v>
      </c>
      <c r="F12" s="7">
        <f>Português!F12</f>
        <v>2.4140410206386691</v>
      </c>
      <c r="G12" s="7">
        <f>Português!G12</f>
        <v>2.4124288840262582</v>
      </c>
      <c r="H12" s="7">
        <f>Português!H12</f>
        <v>2.1896228461683278</v>
      </c>
      <c r="I12" s="7">
        <f>Português!I12</f>
        <v>2.2413090129816808</v>
      </c>
      <c r="J12" s="7">
        <v>2.293690276768019</v>
      </c>
      <c r="K12" s="98">
        <v>2.6605956346439665</v>
      </c>
      <c r="L12" s="98">
        <v>2.86</v>
      </c>
      <c r="M12" s="60"/>
      <c r="N12" s="7">
        <f>Português!N12</f>
        <v>2.2404281967654081</v>
      </c>
      <c r="O12" s="7">
        <f>Português!O12</f>
        <v>2.3868373715124815</v>
      </c>
      <c r="P12" s="7">
        <f>Português!P12</f>
        <v>2.541378060138372</v>
      </c>
      <c r="Q12" s="7">
        <f>Português!Q12</f>
        <v>2.4517186935445019</v>
      </c>
      <c r="R12" s="7">
        <f>Português!R12</f>
        <v>2.3287385093492112</v>
      </c>
      <c r="S12" s="7">
        <f>Português!S12</f>
        <v>2.3975705307739599</v>
      </c>
      <c r="T12" s="7">
        <f>Português!T12</f>
        <v>2.6541908707904356</v>
      </c>
      <c r="U12" s="7">
        <f>Português!U12</f>
        <v>2.3092234708916726</v>
      </c>
      <c r="V12" s="7">
        <f>Português!V12</f>
        <v>2.170918392265647</v>
      </c>
      <c r="W12" s="7">
        <f>Português!W12</f>
        <v>2.1803855897902866</v>
      </c>
      <c r="X12" s="7">
        <f>Português!X12</f>
        <v>2.1508470544054505</v>
      </c>
      <c r="Y12" s="7">
        <f>Português!Y12</f>
        <v>2.2506148728300608</v>
      </c>
      <c r="Z12" s="7">
        <f>Português!Z12</f>
        <v>2.1893041205412054</v>
      </c>
      <c r="AA12" s="7">
        <f>Português!AA12</f>
        <v>2.1699660732280823</v>
      </c>
      <c r="AB12" s="7">
        <f>Português!AB12</f>
        <v>2.3095664938533447</v>
      </c>
      <c r="AC12" s="7">
        <f>Português!AC12</f>
        <v>2.2964565217391306</v>
      </c>
      <c r="AD12" s="7">
        <f>Português!AD12</f>
        <v>2.1896887412422834</v>
      </c>
      <c r="AE12" s="7">
        <f>Português!AE12</f>
        <v>2.2026523715755753</v>
      </c>
      <c r="AF12" s="7">
        <f>Português!AF12</f>
        <v>2.3026780464028076</v>
      </c>
      <c r="AG12" s="7">
        <v>2.5575201786853863</v>
      </c>
      <c r="AH12" s="7">
        <v>2.6356769434413274</v>
      </c>
      <c r="AI12" s="7">
        <v>2.5499999999999998</v>
      </c>
      <c r="AJ12" s="7">
        <v>2.67</v>
      </c>
      <c r="AK12" s="7">
        <v>2.79111664777008</v>
      </c>
      <c r="AL12" s="7">
        <v>2.86</v>
      </c>
      <c r="AM12" s="7">
        <v>2.87</v>
      </c>
    </row>
    <row r="13" spans="2:39">
      <c r="B13" s="4" t="s">
        <v>215</v>
      </c>
      <c r="K13" s="91"/>
      <c r="L13" s="91"/>
      <c r="N13" s="1"/>
      <c r="O13" s="1"/>
      <c r="AM13" s="1"/>
    </row>
    <row r="14" spans="2:39">
      <c r="B14" s="4" t="s">
        <v>216</v>
      </c>
      <c r="K14" s="97"/>
      <c r="L14" s="97"/>
      <c r="N14" s="1"/>
      <c r="O14" s="1"/>
      <c r="AG14" s="72"/>
      <c r="AH14" s="72"/>
      <c r="AI14" s="72"/>
      <c r="AJ14" s="72"/>
      <c r="AK14" s="72"/>
      <c r="AM14" s="1"/>
    </row>
    <row r="15" spans="2:39" ht="14.1" customHeight="1">
      <c r="B15" s="4"/>
      <c r="K15" s="74"/>
      <c r="L15" s="74"/>
      <c r="N15" s="1"/>
      <c r="O15" s="1"/>
      <c r="AG15" s="83"/>
      <c r="AH15" s="83"/>
      <c r="AI15" s="83"/>
      <c r="AJ15" s="83"/>
      <c r="AK15" s="83"/>
      <c r="AM15" s="1"/>
    </row>
    <row r="16" spans="2:39" ht="15.75" thickBot="1">
      <c r="B16" s="62" t="s">
        <v>271</v>
      </c>
      <c r="D16" s="63">
        <f t="shared" ref="D16:F16" si="9">D6</f>
        <v>2018</v>
      </c>
      <c r="E16" s="63">
        <f t="shared" si="9"/>
        <v>2019</v>
      </c>
      <c r="F16" s="63">
        <f t="shared" si="9"/>
        <v>2020</v>
      </c>
      <c r="G16" s="63">
        <f>G6</f>
        <v>2021</v>
      </c>
      <c r="H16" s="63">
        <v>2022</v>
      </c>
      <c r="I16" s="63">
        <v>2023</v>
      </c>
      <c r="J16" s="63">
        <v>2024</v>
      </c>
      <c r="K16" s="68">
        <v>2025</v>
      </c>
      <c r="L16" s="63" t="s">
        <v>408</v>
      </c>
      <c r="N16" s="63" t="str">
        <f t="shared" ref="N16:U16" si="10">N6</f>
        <v>1Q20</v>
      </c>
      <c r="O16" s="63" t="str">
        <f t="shared" si="10"/>
        <v>2Q20</v>
      </c>
      <c r="P16" s="63" t="str">
        <f t="shared" si="10"/>
        <v>3Q20</v>
      </c>
      <c r="Q16" s="63" t="str">
        <f t="shared" si="10"/>
        <v>4Q20</v>
      </c>
      <c r="R16" s="63" t="str">
        <f t="shared" si="10"/>
        <v>1Q21</v>
      </c>
      <c r="S16" s="63" t="str">
        <f t="shared" si="10"/>
        <v>2Q21</v>
      </c>
      <c r="T16" s="63" t="str">
        <f t="shared" si="10"/>
        <v>3Q21</v>
      </c>
      <c r="U16" s="63" t="str">
        <f t="shared" si="10"/>
        <v>4Q21</v>
      </c>
      <c r="V16" s="63" t="str">
        <f t="shared" ref="V16:Y16" si="11">V6</f>
        <v>1Q22</v>
      </c>
      <c r="W16" s="63" t="str">
        <f t="shared" si="11"/>
        <v>2Q22</v>
      </c>
      <c r="X16" s="63" t="s">
        <v>319</v>
      </c>
      <c r="Y16" s="63" t="str">
        <f t="shared" si="11"/>
        <v>4Q22</v>
      </c>
      <c r="Z16" s="63" t="s">
        <v>338</v>
      </c>
      <c r="AA16" s="63" t="s">
        <v>341</v>
      </c>
      <c r="AB16" s="63" t="s">
        <v>344</v>
      </c>
      <c r="AC16" s="63" t="s">
        <v>351</v>
      </c>
      <c r="AD16" s="63" t="s">
        <v>354</v>
      </c>
      <c r="AE16" s="63" t="s">
        <v>366</v>
      </c>
      <c r="AF16" s="63" t="s">
        <v>375</v>
      </c>
      <c r="AG16" s="63" t="s">
        <v>387</v>
      </c>
      <c r="AH16" s="63" t="s">
        <v>393</v>
      </c>
      <c r="AI16" s="63" t="s">
        <v>398</v>
      </c>
      <c r="AJ16" s="63" t="s">
        <v>400</v>
      </c>
      <c r="AK16" s="63" t="s">
        <v>405</v>
      </c>
      <c r="AL16" s="63" t="s">
        <v>408</v>
      </c>
      <c r="AM16" s="63" t="s">
        <v>416</v>
      </c>
    </row>
    <row r="17" spans="2:39" customFormat="1" ht="15.75" thickTop="1">
      <c r="B17" s="15" t="s">
        <v>99</v>
      </c>
      <c r="C17" s="1"/>
      <c r="D17" s="49">
        <f>SUM(D18:D20)</f>
        <v>669732</v>
      </c>
      <c r="E17" s="49">
        <f t="shared" ref="E17:G17" si="12">SUM(E18:E20)</f>
        <v>780127</v>
      </c>
      <c r="F17" s="49">
        <f t="shared" si="12"/>
        <v>770831</v>
      </c>
      <c r="G17" s="49">
        <f t="shared" si="12"/>
        <v>1102480</v>
      </c>
      <c r="H17" s="49">
        <f t="shared" ref="H17:I17" si="13">SUM(H18:H20)</f>
        <v>1977229.4300899999</v>
      </c>
      <c r="I17" s="49">
        <f t="shared" si="13"/>
        <v>2482873</v>
      </c>
      <c r="J17" s="49">
        <v>2517018</v>
      </c>
      <c r="K17" s="49">
        <v>2442297</v>
      </c>
      <c r="L17" s="49">
        <v>644322</v>
      </c>
      <c r="M17" s="48"/>
      <c r="N17" s="49">
        <f t="shared" ref="N17:S17" si="14">SUM(N18:N20)</f>
        <v>182555</v>
      </c>
      <c r="O17" s="49">
        <f t="shared" si="14"/>
        <v>155863.75</v>
      </c>
      <c r="P17" s="49">
        <f t="shared" ref="P17:Q17" si="15">SUM(P18:P20)</f>
        <v>209326</v>
      </c>
      <c r="Q17" s="49">
        <f t="shared" si="15"/>
        <v>223086.25</v>
      </c>
      <c r="R17" s="49">
        <f t="shared" si="14"/>
        <v>244307</v>
      </c>
      <c r="S17" s="49">
        <f t="shared" si="14"/>
        <v>288477</v>
      </c>
      <c r="T17" s="49">
        <f t="shared" ref="T17:U17" si="16">SUM(T18:T20)</f>
        <v>260627</v>
      </c>
      <c r="U17" s="49">
        <f t="shared" si="16"/>
        <v>309069</v>
      </c>
      <c r="V17" s="49">
        <f t="shared" ref="V17:W17" si="17">SUM(V18:V20)</f>
        <v>388472</v>
      </c>
      <c r="W17" s="49">
        <f t="shared" si="17"/>
        <v>492504.30229000002</v>
      </c>
      <c r="X17" s="49">
        <f t="shared" ref="X17:Z17" si="18">SUM(X18:X20)</f>
        <v>528418.92577999993</v>
      </c>
      <c r="Y17" s="49">
        <f t="shared" si="18"/>
        <v>567834.20201999997</v>
      </c>
      <c r="Z17" s="49">
        <f t="shared" si="18"/>
        <v>585174</v>
      </c>
      <c r="AA17" s="49">
        <f t="shared" ref="AA17:AB17" si="19">SUM(AA18:AA20)</f>
        <v>619451</v>
      </c>
      <c r="AB17" s="49">
        <f t="shared" si="19"/>
        <v>644426</v>
      </c>
      <c r="AC17" s="49">
        <f t="shared" ref="AC17:AD17" si="20">SUM(AC18:AC20)</f>
        <v>633822</v>
      </c>
      <c r="AD17" s="49">
        <f t="shared" si="20"/>
        <v>660939</v>
      </c>
      <c r="AE17" s="49">
        <f t="shared" ref="AE17:AF17" si="21">SUM(AE18:AE20)</f>
        <v>663209</v>
      </c>
      <c r="AF17" s="49">
        <f t="shared" si="21"/>
        <v>645379</v>
      </c>
      <c r="AG17" s="49">
        <v>547491</v>
      </c>
      <c r="AH17" s="49">
        <v>560355</v>
      </c>
      <c r="AI17" s="49">
        <v>609862</v>
      </c>
      <c r="AJ17" s="49">
        <v>637565</v>
      </c>
      <c r="AK17" s="49">
        <v>634515</v>
      </c>
      <c r="AL17" s="49">
        <v>644322</v>
      </c>
      <c r="AM17" s="49">
        <v>688461</v>
      </c>
    </row>
    <row r="18" spans="2:39" customFormat="1">
      <c r="B18" s="16" t="s">
        <v>217</v>
      </c>
      <c r="C18" s="1"/>
      <c r="D18" s="46">
        <f>Português!D18</f>
        <v>627463</v>
      </c>
      <c r="E18" s="46">
        <f>Português!E18</f>
        <v>727808</v>
      </c>
      <c r="F18" s="46">
        <f>Português!F18</f>
        <v>708037</v>
      </c>
      <c r="G18" s="46">
        <f>Português!G18</f>
        <v>1012784</v>
      </c>
      <c r="H18" s="46">
        <f>Português!H18</f>
        <v>1839190.4300899999</v>
      </c>
      <c r="I18" s="46">
        <f>Português!I18</f>
        <v>2314041</v>
      </c>
      <c r="J18" s="46">
        <v>2325779</v>
      </c>
      <c r="K18" s="47">
        <v>2263840</v>
      </c>
      <c r="L18" s="47">
        <v>597269</v>
      </c>
      <c r="M18" s="48"/>
      <c r="N18" s="46">
        <f>Português!N18</f>
        <v>168270</v>
      </c>
      <c r="O18" s="46">
        <f>Português!O18</f>
        <v>143910.75</v>
      </c>
      <c r="P18" s="46">
        <f>Português!P18</f>
        <v>188899</v>
      </c>
      <c r="Q18" s="46">
        <f>Português!Q18</f>
        <v>206957.25</v>
      </c>
      <c r="R18" s="46">
        <f>Português!R18</f>
        <v>222167</v>
      </c>
      <c r="S18" s="46">
        <f>Português!S18</f>
        <v>263231</v>
      </c>
      <c r="T18" s="46">
        <f>Português!T18</f>
        <v>240826</v>
      </c>
      <c r="U18" s="46">
        <f>Português!U18</f>
        <v>286560</v>
      </c>
      <c r="V18" s="46">
        <f>Português!V18</f>
        <v>363607</v>
      </c>
      <c r="W18" s="46">
        <f>Português!W18</f>
        <v>455345.73729000002</v>
      </c>
      <c r="X18" s="46">
        <f>Português!X18</f>
        <v>491556.92577999999</v>
      </c>
      <c r="Y18" s="46">
        <f>Português!Y18</f>
        <v>528680.76702000003</v>
      </c>
      <c r="Z18" s="46">
        <f>Português!Z18</f>
        <v>544767</v>
      </c>
      <c r="AA18" s="46">
        <f>Português!AA18</f>
        <v>578623</v>
      </c>
      <c r="AB18" s="46">
        <f>Português!AB18</f>
        <v>596143</v>
      </c>
      <c r="AC18" s="46">
        <f>Português!AC18</f>
        <v>594508</v>
      </c>
      <c r="AD18" s="46">
        <f>Português!AD18</f>
        <v>613499</v>
      </c>
      <c r="AE18" s="46">
        <f>Português!AE18</f>
        <v>612081</v>
      </c>
      <c r="AF18" s="46">
        <f>Português!AF18</f>
        <v>596398</v>
      </c>
      <c r="AG18" s="47">
        <v>503801</v>
      </c>
      <c r="AH18" s="47">
        <v>517268</v>
      </c>
      <c r="AI18" s="47">
        <v>565214</v>
      </c>
      <c r="AJ18" s="47">
        <v>591490</v>
      </c>
      <c r="AK18" s="47">
        <v>589868</v>
      </c>
      <c r="AL18" s="47">
        <v>597269</v>
      </c>
      <c r="AM18" s="47">
        <v>641255</v>
      </c>
    </row>
    <row r="19" spans="2:39" customFormat="1">
      <c r="B19" s="16" t="s">
        <v>100</v>
      </c>
      <c r="C19" s="1"/>
      <c r="D19" s="46">
        <f>Português!D19</f>
        <v>28174</v>
      </c>
      <c r="E19" s="46">
        <f>Português!E19</f>
        <v>36298</v>
      </c>
      <c r="F19" s="46">
        <f>Português!F19</f>
        <v>46627</v>
      </c>
      <c r="G19" s="46">
        <f>Português!G19</f>
        <v>71171</v>
      </c>
      <c r="H19" s="46">
        <f>Português!H19</f>
        <v>113108</v>
      </c>
      <c r="I19" s="46">
        <f>Português!I19</f>
        <v>139425</v>
      </c>
      <c r="J19" s="46">
        <v>157318</v>
      </c>
      <c r="K19" s="47">
        <v>142152</v>
      </c>
      <c r="L19" s="47">
        <v>36975</v>
      </c>
      <c r="M19" s="48"/>
      <c r="N19" s="46">
        <f>Português!N19</f>
        <v>9250</v>
      </c>
      <c r="O19" s="46">
        <f>Português!O19</f>
        <v>7636</v>
      </c>
      <c r="P19" s="46">
        <f>Português!P19</f>
        <v>14463</v>
      </c>
      <c r="Q19" s="46">
        <f>Português!Q19</f>
        <v>15278</v>
      </c>
      <c r="R19" s="46">
        <f>Português!R19</f>
        <v>17741</v>
      </c>
      <c r="S19" s="46">
        <f>Português!S19</f>
        <v>21135</v>
      </c>
      <c r="T19" s="46">
        <f>Português!T19</f>
        <v>14818</v>
      </c>
      <c r="U19" s="46">
        <f>Português!U19</f>
        <v>17477</v>
      </c>
      <c r="V19" s="46">
        <f>Português!V19</f>
        <v>19211</v>
      </c>
      <c r="W19" s="46">
        <f>Português!W19</f>
        <v>31141.565000000002</v>
      </c>
      <c r="X19" s="46">
        <f>Português!X19</f>
        <v>30994</v>
      </c>
      <c r="Y19" s="46">
        <f>Português!Y19</f>
        <v>31761.434999999998</v>
      </c>
      <c r="Z19" s="46">
        <f>Português!Z19</f>
        <v>32771</v>
      </c>
      <c r="AA19" s="46">
        <f>Português!AA19</f>
        <v>33680</v>
      </c>
      <c r="AB19" s="46">
        <f>Português!AB19</f>
        <v>39151</v>
      </c>
      <c r="AC19" s="46">
        <f>Português!AC19</f>
        <v>33823</v>
      </c>
      <c r="AD19" s="46">
        <f>Português!AD19</f>
        <v>39139</v>
      </c>
      <c r="AE19" s="46">
        <f>Português!AE19</f>
        <v>42279</v>
      </c>
      <c r="AF19" s="46">
        <f>Português!AF19</f>
        <v>40239</v>
      </c>
      <c r="AG19" s="47">
        <v>35661</v>
      </c>
      <c r="AH19" s="47">
        <v>33865</v>
      </c>
      <c r="AI19" s="47">
        <v>35602</v>
      </c>
      <c r="AJ19" s="47">
        <v>36877</v>
      </c>
      <c r="AK19" s="47">
        <v>35808</v>
      </c>
      <c r="AL19" s="47">
        <v>36975</v>
      </c>
      <c r="AM19" s="47">
        <v>36480</v>
      </c>
    </row>
    <row r="20" spans="2:39" customFormat="1">
      <c r="B20" s="16" t="s">
        <v>101</v>
      </c>
      <c r="C20" s="1"/>
      <c r="D20" s="46">
        <f>Português!D20</f>
        <v>14095</v>
      </c>
      <c r="E20" s="46">
        <f>Português!E20</f>
        <v>16021</v>
      </c>
      <c r="F20" s="46">
        <f>Português!F20</f>
        <v>16167</v>
      </c>
      <c r="G20" s="46">
        <f>Português!G20</f>
        <v>18525</v>
      </c>
      <c r="H20" s="46">
        <f>Português!H20</f>
        <v>24931</v>
      </c>
      <c r="I20" s="46">
        <f>Português!I20</f>
        <v>29407</v>
      </c>
      <c r="J20" s="46">
        <v>33921</v>
      </c>
      <c r="K20" s="47">
        <v>36305</v>
      </c>
      <c r="L20" s="47">
        <v>10078</v>
      </c>
      <c r="M20" s="48"/>
      <c r="N20" s="46">
        <f>Português!N20</f>
        <v>5035</v>
      </c>
      <c r="O20" s="46">
        <f>Português!O20</f>
        <v>4317</v>
      </c>
      <c r="P20" s="46">
        <f>Português!P20</f>
        <v>5964</v>
      </c>
      <c r="Q20" s="46">
        <f>Português!Q20</f>
        <v>851</v>
      </c>
      <c r="R20" s="46">
        <f>Português!R20</f>
        <v>4399</v>
      </c>
      <c r="S20" s="46">
        <f>Português!S20</f>
        <v>4111</v>
      </c>
      <c r="T20" s="46">
        <f>Português!T20</f>
        <v>4983</v>
      </c>
      <c r="U20" s="46">
        <f>Português!U20</f>
        <v>5032</v>
      </c>
      <c r="V20" s="46">
        <f>Português!V20</f>
        <v>5654</v>
      </c>
      <c r="W20" s="46">
        <f>Português!W20</f>
        <v>6017</v>
      </c>
      <c r="X20" s="46">
        <f>Português!X20</f>
        <v>5868</v>
      </c>
      <c r="Y20" s="46">
        <f>Português!Y20</f>
        <v>7392</v>
      </c>
      <c r="Z20" s="46">
        <f>Português!Z20</f>
        <v>7636</v>
      </c>
      <c r="AA20" s="46">
        <f>Português!AA20</f>
        <v>7148</v>
      </c>
      <c r="AB20" s="46">
        <f>Português!AB20</f>
        <v>9132</v>
      </c>
      <c r="AC20" s="46">
        <f>Português!AC20</f>
        <v>5491</v>
      </c>
      <c r="AD20" s="46">
        <f>Português!AD20</f>
        <v>8301</v>
      </c>
      <c r="AE20" s="46">
        <f>Português!AE20</f>
        <v>8849</v>
      </c>
      <c r="AF20" s="46">
        <f>Português!AF20</f>
        <v>8742</v>
      </c>
      <c r="AG20" s="47">
        <v>8029</v>
      </c>
      <c r="AH20" s="47">
        <v>9222</v>
      </c>
      <c r="AI20" s="47">
        <v>9046</v>
      </c>
      <c r="AJ20" s="47">
        <v>9198</v>
      </c>
      <c r="AK20" s="47">
        <v>8839</v>
      </c>
      <c r="AL20" s="47">
        <v>10078</v>
      </c>
      <c r="AM20" s="47">
        <v>10726</v>
      </c>
    </row>
    <row r="21" spans="2:39" customFormat="1">
      <c r="B21" s="17" t="s">
        <v>218</v>
      </c>
      <c r="C21" s="1"/>
      <c r="D21" s="50">
        <f>Português!D21</f>
        <v>-43176</v>
      </c>
      <c r="E21" s="50">
        <f>Português!E21</f>
        <v>-47488</v>
      </c>
      <c r="F21" s="50">
        <f>Português!F21</f>
        <v>-52970</v>
      </c>
      <c r="G21" s="50">
        <f>Português!G21</f>
        <v>-78167</v>
      </c>
      <c r="H21" s="50">
        <f>Português!H21</f>
        <v>-214097.43009000001</v>
      </c>
      <c r="I21" s="50">
        <f>Português!I21</f>
        <v>-295208</v>
      </c>
      <c r="J21" s="50">
        <v>-291017</v>
      </c>
      <c r="K21" s="50">
        <v>-267012</v>
      </c>
      <c r="L21" s="50">
        <v>-69364</v>
      </c>
      <c r="M21" s="48"/>
      <c r="N21" s="50">
        <f>Português!N21</f>
        <v>-12314</v>
      </c>
      <c r="O21" s="50">
        <f>Português!O21</f>
        <v>-11888</v>
      </c>
      <c r="P21" s="50">
        <f>Português!P21</f>
        <v>-13967.999999999998</v>
      </c>
      <c r="Q21" s="50">
        <f>Português!Q21</f>
        <v>-14800</v>
      </c>
      <c r="R21" s="50">
        <f>Português!R21</f>
        <v>-17547</v>
      </c>
      <c r="S21" s="50">
        <f>Português!S21</f>
        <v>-19547</v>
      </c>
      <c r="T21" s="50">
        <f>Português!T21</f>
        <v>-20225</v>
      </c>
      <c r="U21" s="50">
        <f>Português!U21</f>
        <v>-20848</v>
      </c>
      <c r="V21" s="50">
        <f>Português!V21</f>
        <v>-45745</v>
      </c>
      <c r="W21" s="50">
        <f>Português!W21</f>
        <v>-58097.123999999996</v>
      </c>
      <c r="X21" s="50">
        <f>Português!X21</f>
        <v>-54534.925780000005</v>
      </c>
      <c r="Y21" s="50">
        <f>Português!Y21</f>
        <v>-55720.380310000008</v>
      </c>
      <c r="Z21" s="50">
        <f>Português!Z21</f>
        <v>-61115</v>
      </c>
      <c r="AA21" s="50">
        <f>Português!AA21</f>
        <v>-65296</v>
      </c>
      <c r="AB21" s="50">
        <f>Português!AB21</f>
        <v>-76199</v>
      </c>
      <c r="AC21" s="50">
        <f>Português!AC21</f>
        <v>-92598</v>
      </c>
      <c r="AD21" s="50">
        <f>Português!AD21</f>
        <v>-78140</v>
      </c>
      <c r="AE21" s="50">
        <f>Português!AE21</f>
        <v>-77866</v>
      </c>
      <c r="AF21" s="50">
        <f>Português!AF21</f>
        <v>-74558</v>
      </c>
      <c r="AG21" s="50">
        <v>-60453</v>
      </c>
      <c r="AH21" s="50">
        <v>-61037</v>
      </c>
      <c r="AI21" s="50">
        <v>-64055</v>
      </c>
      <c r="AJ21" s="50">
        <v>-69708</v>
      </c>
      <c r="AK21" s="50">
        <v>-72212</v>
      </c>
      <c r="AL21" s="50">
        <v>-69364</v>
      </c>
      <c r="AM21" s="50">
        <v>-74828</v>
      </c>
    </row>
    <row r="22" spans="2:39" customFormat="1">
      <c r="B22" s="18" t="s">
        <v>102</v>
      </c>
      <c r="C22" s="1"/>
      <c r="D22" s="51">
        <f>D17+D21</f>
        <v>626556</v>
      </c>
      <c r="E22" s="51">
        <f t="shared" ref="E22:G22" si="22">E17+E21</f>
        <v>732639</v>
      </c>
      <c r="F22" s="51">
        <f t="shared" si="22"/>
        <v>717861</v>
      </c>
      <c r="G22" s="51">
        <f t="shared" si="22"/>
        <v>1024313</v>
      </c>
      <c r="H22" s="51">
        <f t="shared" ref="H22:I22" si="23">H17+H21</f>
        <v>1763132</v>
      </c>
      <c r="I22" s="51">
        <f t="shared" si="23"/>
        <v>2187665</v>
      </c>
      <c r="J22" s="51">
        <v>2226001</v>
      </c>
      <c r="K22" s="51">
        <v>2175285</v>
      </c>
      <c r="L22" s="51">
        <v>574958</v>
      </c>
      <c r="M22" s="48"/>
      <c r="N22" s="51">
        <f t="shared" ref="N22:S22" si="24">N17+N21</f>
        <v>170241</v>
      </c>
      <c r="O22" s="51">
        <f t="shared" si="24"/>
        <v>143975.75</v>
      </c>
      <c r="P22" s="51">
        <f t="shared" ref="P22:Q22" si="25">P17+P21</f>
        <v>195358</v>
      </c>
      <c r="Q22" s="51">
        <f t="shared" si="25"/>
        <v>208286.25</v>
      </c>
      <c r="R22" s="51">
        <f t="shared" si="24"/>
        <v>226760</v>
      </c>
      <c r="S22" s="51">
        <f t="shared" si="24"/>
        <v>268930</v>
      </c>
      <c r="T22" s="51">
        <f t="shared" ref="T22:U22" si="26">T17+T21</f>
        <v>240402</v>
      </c>
      <c r="U22" s="51">
        <f t="shared" si="26"/>
        <v>288221</v>
      </c>
      <c r="V22" s="51">
        <f t="shared" ref="V22:W22" si="27">V17+V21</f>
        <v>342727</v>
      </c>
      <c r="W22" s="51">
        <f t="shared" si="27"/>
        <v>434407.17829000001</v>
      </c>
      <c r="X22" s="51">
        <f t="shared" ref="X22:Y22" si="28">X17+X21</f>
        <v>473883.99999999994</v>
      </c>
      <c r="Y22" s="51">
        <f t="shared" si="28"/>
        <v>512113.82170999993</v>
      </c>
      <c r="Z22" s="51">
        <f t="shared" ref="Z22:AA22" si="29">Z17+Z21</f>
        <v>524059</v>
      </c>
      <c r="AA22" s="51">
        <f t="shared" si="29"/>
        <v>554155</v>
      </c>
      <c r="AB22" s="51">
        <f t="shared" ref="AB22:AC22" si="30">AB17+AB21</f>
        <v>568227</v>
      </c>
      <c r="AC22" s="51">
        <f t="shared" si="30"/>
        <v>541224</v>
      </c>
      <c r="AD22" s="51">
        <f t="shared" ref="AD22:AE22" si="31">AD17+AD21</f>
        <v>582799</v>
      </c>
      <c r="AE22" s="51">
        <f t="shared" si="31"/>
        <v>585343</v>
      </c>
      <c r="AF22" s="51">
        <f t="shared" ref="AF22" si="32">AF17+AF21</f>
        <v>570821</v>
      </c>
      <c r="AG22" s="51">
        <v>487038</v>
      </c>
      <c r="AH22" s="51">
        <v>499318</v>
      </c>
      <c r="AI22" s="51">
        <v>545807</v>
      </c>
      <c r="AJ22" s="51">
        <v>567857</v>
      </c>
      <c r="AK22" s="51">
        <v>562303</v>
      </c>
      <c r="AL22" s="51">
        <v>574958</v>
      </c>
      <c r="AM22" s="51">
        <v>613633</v>
      </c>
    </row>
    <row r="23" spans="2:39" customFormat="1">
      <c r="B23" s="17" t="s">
        <v>103</v>
      </c>
      <c r="C23" s="1"/>
      <c r="D23" s="50">
        <f>SUM(D24:D29)</f>
        <v>-341640.34697000001</v>
      </c>
      <c r="E23" s="50">
        <f t="shared" ref="E23:G23" si="33">SUM(E24:E29)</f>
        <v>-396956.00000000006</v>
      </c>
      <c r="F23" s="50">
        <f t="shared" si="33"/>
        <v>-455665</v>
      </c>
      <c r="G23" s="50">
        <f t="shared" si="33"/>
        <v>-619652</v>
      </c>
      <c r="H23" s="50">
        <f t="shared" ref="H23:I23" si="34">SUM(H24:H29)</f>
        <v>-1139945</v>
      </c>
      <c r="I23" s="50">
        <f t="shared" si="34"/>
        <v>-1475816</v>
      </c>
      <c r="J23" s="50">
        <v>-1555404</v>
      </c>
      <c r="K23" s="50">
        <v>-1523868</v>
      </c>
      <c r="L23" s="50">
        <v>-401037</v>
      </c>
      <c r="M23" s="48"/>
      <c r="N23" s="50">
        <f t="shared" ref="N23" si="35">SUM(N24:N29)</f>
        <v>-110159</v>
      </c>
      <c r="O23" s="50">
        <f t="shared" ref="O23:P23" si="36">SUM(O24:O29)</f>
        <v>-104386</v>
      </c>
      <c r="P23" s="50">
        <f t="shared" si="36"/>
        <v>-112867.6</v>
      </c>
      <c r="Q23" s="50">
        <f t="shared" ref="Q23" si="37">SUM(Q24:Q29)</f>
        <v>-128252.4</v>
      </c>
      <c r="R23" s="50">
        <f t="shared" ref="R23" si="38">SUM(R24:R29)</f>
        <v>-137895</v>
      </c>
      <c r="S23" s="50">
        <f t="shared" ref="S23:T23" si="39">SUM(S24:S29)</f>
        <v>-149990.6</v>
      </c>
      <c r="T23" s="50">
        <f t="shared" si="39"/>
        <v>-156084</v>
      </c>
      <c r="U23" s="50">
        <f t="shared" ref="U23:V23" si="40">SUM(U24:U29)</f>
        <v>-175682.4</v>
      </c>
      <c r="V23" s="50">
        <f t="shared" si="40"/>
        <v>-222931</v>
      </c>
      <c r="W23" s="50">
        <f t="shared" ref="W23" si="41">SUM(W24:W29)</f>
        <v>-272789.67829000001</v>
      </c>
      <c r="X23" s="50">
        <f t="shared" ref="X23:Y23" si="42">SUM(X24:X29)</f>
        <v>-304428</v>
      </c>
      <c r="Y23" s="50">
        <f t="shared" si="42"/>
        <v>-339796.32171000005</v>
      </c>
      <c r="Z23" s="50">
        <f t="shared" ref="Z23:AA23" si="43">SUM(Z24:Z29)</f>
        <v>-344912</v>
      </c>
      <c r="AA23" s="50">
        <f t="shared" si="43"/>
        <v>-369680</v>
      </c>
      <c r="AB23" s="50">
        <f t="shared" ref="AB23:AC23" si="44">SUM(AB24:AB29)</f>
        <v>-382742</v>
      </c>
      <c r="AC23" s="50">
        <f t="shared" si="44"/>
        <v>-378482</v>
      </c>
      <c r="AD23" s="50">
        <f t="shared" ref="AD23:AE23" si="45">SUM(AD24:AD29)</f>
        <v>-389691</v>
      </c>
      <c r="AE23" s="50">
        <f t="shared" si="45"/>
        <v>-410455</v>
      </c>
      <c r="AF23" s="50">
        <f t="shared" ref="AF23" si="46">SUM(AF24:AF29)</f>
        <v>-397247</v>
      </c>
      <c r="AG23" s="50">
        <v>-358011</v>
      </c>
      <c r="AH23" s="50">
        <v>-355530</v>
      </c>
      <c r="AI23" s="50">
        <v>-380981.93542540527</v>
      </c>
      <c r="AJ23" s="50">
        <v>-396737.06457459473</v>
      </c>
      <c r="AK23" s="50">
        <v>-390619</v>
      </c>
      <c r="AL23" s="50">
        <v>-401037</v>
      </c>
      <c r="AM23" s="50">
        <v>-426901</v>
      </c>
    </row>
    <row r="24" spans="2:39" customFormat="1">
      <c r="B24" s="19" t="s">
        <v>219</v>
      </c>
      <c r="C24" s="1"/>
      <c r="D24" s="47">
        <f>Português!D24</f>
        <v>-161439</v>
      </c>
      <c r="E24" s="47">
        <f>Português!E24</f>
        <v>-178904.74817000001</v>
      </c>
      <c r="F24" s="47">
        <f>Português!F24</f>
        <v>-194181</v>
      </c>
      <c r="G24" s="47">
        <f>Português!G24</f>
        <v>-283228</v>
      </c>
      <c r="H24" s="47">
        <f>Português!H24</f>
        <v>-426534</v>
      </c>
      <c r="I24" s="47">
        <f>Português!I24</f>
        <v>-528486</v>
      </c>
      <c r="J24" s="47">
        <v>-547158</v>
      </c>
      <c r="K24" s="47">
        <v>-579991</v>
      </c>
      <c r="L24" s="47">
        <v>-155683</v>
      </c>
      <c r="M24" s="48"/>
      <c r="N24" s="47">
        <f>Português!N24</f>
        <v>-45936</v>
      </c>
      <c r="O24" s="47">
        <f>Português!O24</f>
        <v>-41531</v>
      </c>
      <c r="P24" s="47">
        <f>Português!P24</f>
        <v>-48927</v>
      </c>
      <c r="Q24" s="47">
        <f>Português!Q24</f>
        <v>-57787</v>
      </c>
      <c r="R24" s="47">
        <f>Português!R24</f>
        <v>-65905</v>
      </c>
      <c r="S24" s="47">
        <f>Português!S24</f>
        <v>-71005</v>
      </c>
      <c r="T24" s="47">
        <f>Português!T24</f>
        <v>-73123</v>
      </c>
      <c r="U24" s="47">
        <f>Português!U24</f>
        <v>-73195</v>
      </c>
      <c r="V24" s="47">
        <f>Português!V24</f>
        <v>-89377</v>
      </c>
      <c r="W24" s="47">
        <f>Português!W24</f>
        <v>-99666.085289999988</v>
      </c>
      <c r="X24" s="47">
        <f>Português!X24</f>
        <v>-115892</v>
      </c>
      <c r="Y24" s="47">
        <f>Português!Y24</f>
        <v>-121598.91471000004</v>
      </c>
      <c r="Z24" s="47">
        <f>Português!Z24</f>
        <v>-125526</v>
      </c>
      <c r="AA24" s="47">
        <f>Português!AA24</f>
        <v>-134909</v>
      </c>
      <c r="AB24" s="47">
        <f>Português!AB24</f>
        <v>-135431</v>
      </c>
      <c r="AC24" s="47">
        <f>Português!AC24</f>
        <v>-132620</v>
      </c>
      <c r="AD24" s="47">
        <f>Português!AD24</f>
        <v>-133559</v>
      </c>
      <c r="AE24" s="47">
        <f>Português!AE24</f>
        <v>-148187</v>
      </c>
      <c r="AF24" s="47">
        <f>Português!AF24</f>
        <v>-135669</v>
      </c>
      <c r="AG24" s="47">
        <v>-129743</v>
      </c>
      <c r="AH24" s="47">
        <v>-129756</v>
      </c>
      <c r="AI24" s="47">
        <v>-147156</v>
      </c>
      <c r="AJ24" s="47">
        <v>-154787</v>
      </c>
      <c r="AK24" s="47">
        <v>-148292</v>
      </c>
      <c r="AL24" s="47">
        <v>-155683</v>
      </c>
      <c r="AM24" s="47">
        <v>-170198</v>
      </c>
    </row>
    <row r="25" spans="2:39" customFormat="1">
      <c r="B25" s="19" t="s">
        <v>104</v>
      </c>
      <c r="C25" s="1"/>
      <c r="D25" s="47">
        <f>Português!D25</f>
        <v>-62839.184480000004</v>
      </c>
      <c r="E25" s="47">
        <f>Português!E25</f>
        <v>-76654.258000000002</v>
      </c>
      <c r="F25" s="47">
        <f>Português!F25</f>
        <v>-114226</v>
      </c>
      <c r="G25" s="47">
        <f>Português!G25</f>
        <v>-157509</v>
      </c>
      <c r="H25" s="47">
        <f>Português!H25</f>
        <v>-318703</v>
      </c>
      <c r="I25" s="47">
        <f>Português!I25</f>
        <v>-409441</v>
      </c>
      <c r="J25" s="47">
        <v>-448711</v>
      </c>
      <c r="K25" s="47">
        <v>-431076</v>
      </c>
      <c r="L25" s="47">
        <v>-113881</v>
      </c>
      <c r="M25" s="48"/>
      <c r="N25" s="47">
        <f>Português!N25</f>
        <v>-25625</v>
      </c>
      <c r="O25" s="47">
        <f>Português!O25</f>
        <v>-27649</v>
      </c>
      <c r="P25" s="47">
        <f>Português!P25</f>
        <v>-28361</v>
      </c>
      <c r="Q25" s="47">
        <f>Português!Q25</f>
        <v>-32591</v>
      </c>
      <c r="R25" s="47">
        <f>Português!R25</f>
        <v>-33644</v>
      </c>
      <c r="S25" s="47">
        <f>Português!S25</f>
        <v>-39174</v>
      </c>
      <c r="T25" s="47">
        <f>Português!T25</f>
        <v>-39295</v>
      </c>
      <c r="U25" s="47">
        <f>Português!U25</f>
        <v>-45396</v>
      </c>
      <c r="V25" s="47">
        <f>Português!V25</f>
        <v>-63168</v>
      </c>
      <c r="W25" s="47">
        <f>Português!W25</f>
        <v>-79921.076000000001</v>
      </c>
      <c r="X25" s="47">
        <f>Português!X25</f>
        <v>-77832</v>
      </c>
      <c r="Y25" s="47">
        <f>Português!Y25</f>
        <v>-97781.923999999999</v>
      </c>
      <c r="Z25" s="47">
        <f>Português!Z25</f>
        <v>-92816</v>
      </c>
      <c r="AA25" s="47">
        <f>Português!AA25</f>
        <v>-104545</v>
      </c>
      <c r="AB25" s="47">
        <f>Português!AB25</f>
        <v>-108681</v>
      </c>
      <c r="AC25" s="47">
        <f>Português!AC25</f>
        <v>-103399</v>
      </c>
      <c r="AD25" s="47">
        <f>Português!AD25</f>
        <v>-112403</v>
      </c>
      <c r="AE25" s="47">
        <f>Português!AE25</f>
        <v>-116418</v>
      </c>
      <c r="AF25" s="47">
        <f>Português!AF25</f>
        <v>-119559</v>
      </c>
      <c r="AG25" s="47">
        <v>-100331</v>
      </c>
      <c r="AH25" s="47">
        <v>-104189</v>
      </c>
      <c r="AI25" s="47">
        <v>-106245</v>
      </c>
      <c r="AJ25" s="47">
        <v>-110867</v>
      </c>
      <c r="AK25" s="47">
        <v>-109775</v>
      </c>
      <c r="AL25" s="47">
        <v>-113881</v>
      </c>
      <c r="AM25" s="47">
        <v>-116454</v>
      </c>
    </row>
    <row r="26" spans="2:39" customFormat="1">
      <c r="B26" s="19" t="s">
        <v>220</v>
      </c>
      <c r="C26" s="1"/>
      <c r="D26" s="47">
        <f>Português!D26</f>
        <v>-30430</v>
      </c>
      <c r="E26" s="47">
        <f>Português!E26</f>
        <v>-33002.036090000001</v>
      </c>
      <c r="F26" s="47">
        <f>Português!F26</f>
        <v>-31857</v>
      </c>
      <c r="G26" s="47">
        <f>Português!G26</f>
        <v>-52573</v>
      </c>
      <c r="H26" s="47">
        <f>Português!H26</f>
        <v>-171596</v>
      </c>
      <c r="I26" s="47">
        <f>Português!I26</f>
        <v>-252300</v>
      </c>
      <c r="J26" s="47">
        <v>-258070</v>
      </c>
      <c r="K26" s="47">
        <v>-231631</v>
      </c>
      <c r="L26" s="47">
        <v>-60619</v>
      </c>
      <c r="M26" s="48"/>
      <c r="N26" s="47">
        <f>Português!N26</f>
        <v>-9081</v>
      </c>
      <c r="O26" s="47">
        <f>Português!O26</f>
        <v>-8161</v>
      </c>
      <c r="P26" s="47">
        <f>Português!P26</f>
        <v>-7977</v>
      </c>
      <c r="Q26" s="47">
        <f>Português!Q26</f>
        <v>-6638</v>
      </c>
      <c r="R26" s="47">
        <f>Português!R26</f>
        <v>-9468</v>
      </c>
      <c r="S26" s="47">
        <f>Português!S26</f>
        <v>-9787</v>
      </c>
      <c r="T26" s="47">
        <f>Português!T26</f>
        <v>-12728</v>
      </c>
      <c r="U26" s="47">
        <f>Português!U26</f>
        <v>-20590</v>
      </c>
      <c r="V26" s="47">
        <f>Português!V26</f>
        <v>-28406</v>
      </c>
      <c r="W26" s="47">
        <f>Português!W26</f>
        <v>-40427.213000000003</v>
      </c>
      <c r="X26" s="47">
        <f>Português!X26</f>
        <v>-50252</v>
      </c>
      <c r="Y26" s="47">
        <f>Português!Y26</f>
        <v>-52510.786999999997</v>
      </c>
      <c r="Z26" s="47">
        <f>Português!Z26</f>
        <v>-57269</v>
      </c>
      <c r="AA26" s="47">
        <f>Português!AA26</f>
        <v>-60792</v>
      </c>
      <c r="AB26" s="47">
        <f>Português!AB26</f>
        <v>-67526</v>
      </c>
      <c r="AC26" s="47">
        <f>Português!AC26</f>
        <v>-66713</v>
      </c>
      <c r="AD26" s="47">
        <f>Português!AD26</f>
        <v>-67613</v>
      </c>
      <c r="AE26" s="47">
        <f>Português!AE26</f>
        <v>-67091</v>
      </c>
      <c r="AF26" s="47">
        <f>Português!AF26</f>
        <v>-68922</v>
      </c>
      <c r="AG26" s="47">
        <v>-54444</v>
      </c>
      <c r="AH26" s="47">
        <v>-55074</v>
      </c>
      <c r="AI26" s="47">
        <v>-57401</v>
      </c>
      <c r="AJ26" s="47">
        <v>-59719</v>
      </c>
      <c r="AK26" s="47">
        <v>-59437</v>
      </c>
      <c r="AL26" s="47">
        <v>-60619</v>
      </c>
      <c r="AM26" s="47">
        <v>-66696</v>
      </c>
    </row>
    <row r="27" spans="2:39" customFormat="1">
      <c r="B27" s="19" t="s">
        <v>105</v>
      </c>
      <c r="C27" s="1"/>
      <c r="D27" s="47">
        <f>Português!D27</f>
        <v>-23184</v>
      </c>
      <c r="E27" s="47">
        <f>Português!E27</f>
        <v>-29633.095979999998</v>
      </c>
      <c r="F27" s="47">
        <f>Português!F27</f>
        <v>-32719</v>
      </c>
      <c r="G27" s="47">
        <f>Português!G27</f>
        <v>-37059</v>
      </c>
      <c r="H27" s="47">
        <f>Português!H27</f>
        <v>-61571</v>
      </c>
      <c r="I27" s="47">
        <f>Português!I27</f>
        <v>-87706</v>
      </c>
      <c r="J27" s="47">
        <v>-99475</v>
      </c>
      <c r="K27" s="47">
        <v>-92464</v>
      </c>
      <c r="L27" s="47">
        <v>-24153</v>
      </c>
      <c r="M27" s="48"/>
      <c r="N27" s="47">
        <f>Português!N27</f>
        <v>-8347</v>
      </c>
      <c r="O27" s="47">
        <f>Português!O27</f>
        <v>-7758</v>
      </c>
      <c r="P27" s="47">
        <f>Português!P27</f>
        <v>-7338</v>
      </c>
      <c r="Q27" s="47">
        <f>Português!Q27</f>
        <v>-9276</v>
      </c>
      <c r="R27" s="47">
        <f>Português!R27</f>
        <v>-8470</v>
      </c>
      <c r="S27" s="47">
        <f>Português!S27</f>
        <v>-8382</v>
      </c>
      <c r="T27" s="47">
        <f>Português!T27</f>
        <v>-8667</v>
      </c>
      <c r="U27" s="47">
        <f>Português!U27</f>
        <v>-11540</v>
      </c>
      <c r="V27" s="47">
        <f>Português!V27</f>
        <v>-10422</v>
      </c>
      <c r="W27" s="47">
        <f>Português!W27</f>
        <v>-14072.807000000001</v>
      </c>
      <c r="X27" s="47">
        <f>Português!X27</f>
        <v>-16986</v>
      </c>
      <c r="Y27" s="47">
        <f>Português!Y27</f>
        <v>-20090.192999999999</v>
      </c>
      <c r="Z27" s="47">
        <f>Português!Z27</f>
        <v>-19547</v>
      </c>
      <c r="AA27" s="47">
        <f>Português!AA27</f>
        <v>-22216</v>
      </c>
      <c r="AB27" s="47">
        <f>Português!AB27</f>
        <v>-22259</v>
      </c>
      <c r="AC27" s="47">
        <f>Português!AC27</f>
        <v>-23684</v>
      </c>
      <c r="AD27" s="47">
        <f>Português!AD27</f>
        <v>-25478</v>
      </c>
      <c r="AE27" s="47">
        <f>Português!AE27</f>
        <v>-26990</v>
      </c>
      <c r="AF27" s="47">
        <f>Português!AF27</f>
        <v>-24544</v>
      </c>
      <c r="AG27" s="47">
        <v>-22463</v>
      </c>
      <c r="AH27" s="47">
        <v>-21536</v>
      </c>
      <c r="AI27" s="47">
        <v>-22945</v>
      </c>
      <c r="AJ27" s="47">
        <v>-23103</v>
      </c>
      <c r="AK27" s="47">
        <v>-24880</v>
      </c>
      <c r="AL27" s="47">
        <v>-24153</v>
      </c>
      <c r="AM27" s="47">
        <v>-24766</v>
      </c>
    </row>
    <row r="28" spans="2:39" customFormat="1">
      <c r="B28" s="19" t="s">
        <v>106</v>
      </c>
      <c r="C28" s="1"/>
      <c r="D28" s="47">
        <f>Português!D28</f>
        <v>-28906</v>
      </c>
      <c r="E28" s="47">
        <f>Português!E28</f>
        <v>-34146.614970000031</v>
      </c>
      <c r="F28" s="47">
        <f>Português!F28</f>
        <v>-29809</v>
      </c>
      <c r="G28" s="47">
        <f>Português!G28</f>
        <v>-32486</v>
      </c>
      <c r="H28" s="47">
        <f>Português!H28</f>
        <v>-74328</v>
      </c>
      <c r="I28" s="47">
        <f>Português!I28</f>
        <v>-82432</v>
      </c>
      <c r="J28" s="47">
        <v>-88707</v>
      </c>
      <c r="K28" s="47">
        <v>-89870</v>
      </c>
      <c r="L28" s="47">
        <v>-21101</v>
      </c>
      <c r="M28" s="48"/>
      <c r="N28" s="47">
        <f>Português!N28</f>
        <v>-7146</v>
      </c>
      <c r="O28" s="47">
        <f>Português!O28</f>
        <v>-7774</v>
      </c>
      <c r="P28" s="47">
        <f>Português!P28</f>
        <v>-5831.5999999999985</v>
      </c>
      <c r="Q28" s="47">
        <f>Português!Q28</f>
        <v>-9057.4000000000015</v>
      </c>
      <c r="R28" s="47">
        <f>Português!R28</f>
        <v>-7054</v>
      </c>
      <c r="S28" s="47">
        <f>Português!S28</f>
        <v>-7315.6</v>
      </c>
      <c r="T28" s="47">
        <f>Português!T28</f>
        <v>-7367.9999999999982</v>
      </c>
      <c r="U28" s="47">
        <f>Português!U28</f>
        <v>-10748.400000000001</v>
      </c>
      <c r="V28" s="47">
        <f>Português!V28</f>
        <v>-12691</v>
      </c>
      <c r="W28" s="47">
        <f>Português!W28</f>
        <v>-16370</v>
      </c>
      <c r="X28" s="47">
        <f>Português!X28</f>
        <v>-19566</v>
      </c>
      <c r="Y28" s="47">
        <f>Português!Y28</f>
        <v>-25701</v>
      </c>
      <c r="Z28" s="47">
        <f>Português!Z28</f>
        <v>-20902</v>
      </c>
      <c r="AA28" s="47">
        <f>Português!AA28</f>
        <v>-20193</v>
      </c>
      <c r="AB28" s="47">
        <f>Português!AB28</f>
        <v>-20591</v>
      </c>
      <c r="AC28" s="47">
        <f>Português!AC28</f>
        <v>-20746</v>
      </c>
      <c r="AD28" s="47">
        <f>Português!AD28</f>
        <v>-21880</v>
      </c>
      <c r="AE28" s="47">
        <f>Português!AE28</f>
        <v>-21841</v>
      </c>
      <c r="AF28" s="47">
        <f>Português!AF28</f>
        <v>-21428</v>
      </c>
      <c r="AG28" s="47">
        <v>-23558</v>
      </c>
      <c r="AH28" s="47">
        <v>-22034</v>
      </c>
      <c r="AI28" s="47">
        <v>-21983.935425405289</v>
      </c>
      <c r="AJ28" s="47">
        <v>-22429.064574594711</v>
      </c>
      <c r="AK28" s="47">
        <v>-23423</v>
      </c>
      <c r="AL28" s="47">
        <v>-21101</v>
      </c>
      <c r="AM28" s="47">
        <v>-21378</v>
      </c>
    </row>
    <row r="29" spans="2:39" customFormat="1">
      <c r="B29" s="19" t="s">
        <v>107</v>
      </c>
      <c r="C29" s="1"/>
      <c r="D29" s="47">
        <f>Português!D29</f>
        <v>-34842.162490000002</v>
      </c>
      <c r="E29" s="47">
        <f>Português!E29</f>
        <v>-44615.246789999997</v>
      </c>
      <c r="F29" s="47">
        <f>Português!F29</f>
        <v>-52873</v>
      </c>
      <c r="G29" s="47">
        <f>Português!G29</f>
        <v>-56797</v>
      </c>
      <c r="H29" s="47">
        <f>Português!H29</f>
        <v>-87213</v>
      </c>
      <c r="I29" s="47">
        <f>Português!I29</f>
        <v>-115451</v>
      </c>
      <c r="J29" s="47">
        <v>-113283</v>
      </c>
      <c r="K29" s="47">
        <v>-98836</v>
      </c>
      <c r="L29" s="47">
        <v>-25600</v>
      </c>
      <c r="M29" s="48"/>
      <c r="N29" s="47">
        <f>Português!N29</f>
        <v>-14024</v>
      </c>
      <c r="O29" s="47">
        <f>Português!O29</f>
        <v>-11513</v>
      </c>
      <c r="P29" s="47">
        <f>Português!P29</f>
        <v>-14433</v>
      </c>
      <c r="Q29" s="47">
        <f>Português!Q29</f>
        <v>-12903</v>
      </c>
      <c r="R29" s="47">
        <f>Português!R29</f>
        <v>-13354</v>
      </c>
      <c r="S29" s="47">
        <f>Português!S29</f>
        <v>-14327</v>
      </c>
      <c r="T29" s="47">
        <f>Português!T29</f>
        <v>-14903</v>
      </c>
      <c r="U29" s="47">
        <f>Português!U29</f>
        <v>-14213</v>
      </c>
      <c r="V29" s="47">
        <f>Português!V29</f>
        <v>-18867</v>
      </c>
      <c r="W29" s="47">
        <f>Português!W29</f>
        <v>-22332.497000000003</v>
      </c>
      <c r="X29" s="47">
        <f>Português!X29</f>
        <v>-23900</v>
      </c>
      <c r="Y29" s="47">
        <f>Português!Y29</f>
        <v>-22113.502999999997</v>
      </c>
      <c r="Z29" s="47">
        <f>Português!Z29</f>
        <v>-28852</v>
      </c>
      <c r="AA29" s="47">
        <f>Português!AA29</f>
        <v>-27025</v>
      </c>
      <c r="AB29" s="47">
        <f>Português!AB29</f>
        <v>-28254</v>
      </c>
      <c r="AC29" s="47">
        <f>Português!AC29</f>
        <v>-31320</v>
      </c>
      <c r="AD29" s="47">
        <f>Português!AD29</f>
        <v>-28758</v>
      </c>
      <c r="AE29" s="47">
        <f>Português!AE29</f>
        <v>-29928</v>
      </c>
      <c r="AF29" s="47">
        <f>Português!AF29</f>
        <v>-27125</v>
      </c>
      <c r="AG29" s="47">
        <v>-27472</v>
      </c>
      <c r="AH29" s="47">
        <v>-22941</v>
      </c>
      <c r="AI29" s="47">
        <v>-25251</v>
      </c>
      <c r="AJ29" s="47">
        <v>-25832</v>
      </c>
      <c r="AK29" s="47">
        <v>-24812</v>
      </c>
      <c r="AL29" s="47">
        <v>-25600</v>
      </c>
      <c r="AM29" s="47">
        <v>-27409</v>
      </c>
    </row>
    <row r="30" spans="2:39" customFormat="1">
      <c r="B30" s="18" t="s">
        <v>108</v>
      </c>
      <c r="C30" s="1"/>
      <c r="D30" s="51">
        <f>SUM(D22:D23)</f>
        <v>284915.65302999999</v>
      </c>
      <c r="E30" s="51">
        <f t="shared" ref="E30:S30" si="47">SUM(E22:E23)</f>
        <v>335682.99999999994</v>
      </c>
      <c r="F30" s="51">
        <f t="shared" si="47"/>
        <v>262196</v>
      </c>
      <c r="G30" s="51">
        <f t="shared" ref="G30:H30" si="48">SUM(G22:G23)</f>
        <v>404661</v>
      </c>
      <c r="H30" s="51">
        <f t="shared" si="48"/>
        <v>623187</v>
      </c>
      <c r="I30" s="51">
        <f t="shared" ref="I30" si="49">SUM(I22:I23)</f>
        <v>711849</v>
      </c>
      <c r="J30" s="51">
        <v>670597</v>
      </c>
      <c r="K30" s="51">
        <v>651417</v>
      </c>
      <c r="L30" s="51">
        <v>173921</v>
      </c>
      <c r="M30" s="48"/>
      <c r="N30" s="51">
        <f t="shared" si="47"/>
        <v>60082</v>
      </c>
      <c r="O30" s="51">
        <f t="shared" si="47"/>
        <v>39589.75</v>
      </c>
      <c r="P30" s="51">
        <f t="shared" ref="P30:Q30" si="50">SUM(P22:P23)</f>
        <v>82490.399999999994</v>
      </c>
      <c r="Q30" s="51">
        <f t="shared" si="50"/>
        <v>80033.850000000006</v>
      </c>
      <c r="R30" s="51">
        <f t="shared" si="47"/>
        <v>88865</v>
      </c>
      <c r="S30" s="51">
        <f t="shared" si="47"/>
        <v>118939.4</v>
      </c>
      <c r="T30" s="51">
        <f t="shared" ref="T30:U30" si="51">SUM(T22:T23)</f>
        <v>84318</v>
      </c>
      <c r="U30" s="51">
        <f t="shared" si="51"/>
        <v>112538.6</v>
      </c>
      <c r="V30" s="51">
        <f t="shared" ref="V30:W30" si="52">SUM(V22:V23)</f>
        <v>119796</v>
      </c>
      <c r="W30" s="51">
        <f t="shared" si="52"/>
        <v>161617.5</v>
      </c>
      <c r="X30" s="51">
        <f t="shared" ref="X30:Y30" si="53">SUM(X22:X23)</f>
        <v>169455.99999999994</v>
      </c>
      <c r="Y30" s="51">
        <f t="shared" si="53"/>
        <v>172317.49999999988</v>
      </c>
      <c r="Z30" s="51">
        <f t="shared" ref="Z30:AA30" si="54">SUM(Z22:Z23)</f>
        <v>179147</v>
      </c>
      <c r="AA30" s="51">
        <f t="shared" si="54"/>
        <v>184475</v>
      </c>
      <c r="AB30" s="51">
        <f t="shared" ref="AB30:AC30" si="55">SUM(AB22:AB23)</f>
        <v>185485</v>
      </c>
      <c r="AC30" s="51">
        <f t="shared" si="55"/>
        <v>162742</v>
      </c>
      <c r="AD30" s="51">
        <f t="shared" ref="AD30:AE30" si="56">SUM(AD22:AD23)</f>
        <v>193108</v>
      </c>
      <c r="AE30" s="51">
        <f t="shared" si="56"/>
        <v>174888</v>
      </c>
      <c r="AF30" s="51">
        <f t="shared" ref="AF30" si="57">SUM(AF22:AF23)</f>
        <v>173574</v>
      </c>
      <c r="AG30" s="51">
        <v>129027</v>
      </c>
      <c r="AH30" s="51">
        <v>143788</v>
      </c>
      <c r="AI30" s="51">
        <v>164825.06457459473</v>
      </c>
      <c r="AJ30" s="51">
        <v>171119.93542540527</v>
      </c>
      <c r="AK30" s="51">
        <v>171684</v>
      </c>
      <c r="AL30" s="51">
        <v>173921</v>
      </c>
      <c r="AM30" s="51">
        <v>186732</v>
      </c>
    </row>
    <row r="31" spans="2:39" s="3" customFormat="1">
      <c r="B31" s="20" t="s">
        <v>182</v>
      </c>
      <c r="C31" s="1"/>
      <c r="D31" s="10">
        <f>D30/D22</f>
        <v>0.45473294171630307</v>
      </c>
      <c r="E31" s="10">
        <f t="shared" ref="E31:F31" si="58">E30/E22</f>
        <v>0.45818336179209673</v>
      </c>
      <c r="F31" s="10">
        <f t="shared" si="58"/>
        <v>0.3652461966871024</v>
      </c>
      <c r="G31" s="10">
        <f t="shared" ref="G31:H31" si="59">G30/G22</f>
        <v>0.39505600338958891</v>
      </c>
      <c r="H31" s="10">
        <f t="shared" si="59"/>
        <v>0.35345453431733981</v>
      </c>
      <c r="I31" s="10">
        <f t="shared" ref="I31" si="60">I30/I22</f>
        <v>0.32539214184987192</v>
      </c>
      <c r="J31" s="10">
        <v>0.30125637859102489</v>
      </c>
      <c r="K31" s="10">
        <v>0.29946282900861265</v>
      </c>
      <c r="L31" s="10">
        <v>0.30249339951787785</v>
      </c>
      <c r="M31"/>
      <c r="N31" s="10">
        <f t="shared" ref="N31:S31" si="61">N30/N22</f>
        <v>0.35292320886272988</v>
      </c>
      <c r="O31" s="10">
        <f t="shared" si="61"/>
        <v>0.27497512601948593</v>
      </c>
      <c r="P31" s="10">
        <f t="shared" ref="P31:Q31" si="62">P30/P22</f>
        <v>0.42225248006224469</v>
      </c>
      <c r="Q31" s="10">
        <f t="shared" si="62"/>
        <v>0.3842493203463983</v>
      </c>
      <c r="R31" s="10">
        <f t="shared" si="61"/>
        <v>0.39189010407479274</v>
      </c>
      <c r="S31" s="10">
        <f t="shared" si="61"/>
        <v>0.44226899193098573</v>
      </c>
      <c r="T31" s="10">
        <f t="shared" ref="T31:U31" si="63">T30/T22</f>
        <v>0.35073751466293956</v>
      </c>
      <c r="U31" s="10">
        <f t="shared" si="63"/>
        <v>0.39045940441536187</v>
      </c>
      <c r="V31" s="10">
        <f t="shared" ref="V31:W31" si="64">V30/V22</f>
        <v>0.34953767867719787</v>
      </c>
      <c r="W31" s="10">
        <f t="shared" si="64"/>
        <v>0.37204150409344283</v>
      </c>
      <c r="X31" s="10">
        <f t="shared" ref="X31:Y31" si="65">X30/X22</f>
        <v>0.35758962108870518</v>
      </c>
      <c r="Y31" s="10">
        <f t="shared" si="65"/>
        <v>0.3364828143568051</v>
      </c>
      <c r="Z31" s="10">
        <f t="shared" ref="Z31:AA31" si="66">Z30/Z22</f>
        <v>0.34184509759397319</v>
      </c>
      <c r="AA31" s="10">
        <f t="shared" si="66"/>
        <v>0.3328942263446148</v>
      </c>
      <c r="AB31" s="10">
        <f t="shared" ref="AB31:AC31" si="67">AB30/AB22</f>
        <v>0.32642764247387046</v>
      </c>
      <c r="AC31" s="10">
        <f t="shared" si="67"/>
        <v>0.30069250439743989</v>
      </c>
      <c r="AD31" s="10">
        <f t="shared" ref="AD31:AE31" si="68">AD30/AD22</f>
        <v>0.3313457984656803</v>
      </c>
      <c r="AE31" s="10">
        <f t="shared" si="68"/>
        <v>0.29877866481703891</v>
      </c>
      <c r="AF31" s="10">
        <f t="shared" ref="AF31" si="69">AF30/AF22</f>
        <v>0.30407781073226109</v>
      </c>
      <c r="AG31" s="10">
        <v>0.26492183361462557</v>
      </c>
      <c r="AH31" s="10">
        <v>0.28796878942878085</v>
      </c>
      <c r="AI31" s="10">
        <f>AI30/AI22</f>
        <v>0.30198415295991937</v>
      </c>
      <c r="AJ31" s="10">
        <v>0.30134335831979753</v>
      </c>
      <c r="AK31" s="10">
        <v>0.30532293087534657</v>
      </c>
      <c r="AL31" s="10">
        <v>0.30249339951787785</v>
      </c>
      <c r="AM31" s="10">
        <v>0.3043056680458841</v>
      </c>
    </row>
    <row r="32" spans="2:39" customFormat="1">
      <c r="B32" s="61" t="s">
        <v>109</v>
      </c>
      <c r="C32" s="1"/>
      <c r="D32" s="50">
        <f>SUM(D33:D35)</f>
        <v>-96027</v>
      </c>
      <c r="E32" s="50">
        <f t="shared" ref="E32:F32" si="70">SUM(E33:E35)</f>
        <v>-116567</v>
      </c>
      <c r="F32" s="50">
        <f t="shared" si="70"/>
        <v>-89258</v>
      </c>
      <c r="G32" s="50">
        <f t="shared" ref="G32:H32" si="71">SUM(G33:G35)</f>
        <v>-134118.20000000001</v>
      </c>
      <c r="H32" s="50">
        <f t="shared" si="71"/>
        <v>-269092</v>
      </c>
      <c r="I32" s="50">
        <f t="shared" ref="I32" si="72">SUM(I33:I35)</f>
        <v>-296288</v>
      </c>
      <c r="J32" s="50">
        <v>-298709</v>
      </c>
      <c r="K32" s="50">
        <v>-276928</v>
      </c>
      <c r="L32" s="50">
        <v>-71733</v>
      </c>
      <c r="M32" s="48"/>
      <c r="N32" s="50">
        <f t="shared" ref="N32" si="73">SUM(N33:N35)</f>
        <v>-22530</v>
      </c>
      <c r="O32" s="50">
        <f t="shared" ref="O32:P32" si="74">SUM(O33:O35)</f>
        <v>-22462</v>
      </c>
      <c r="P32" s="50">
        <f t="shared" si="74"/>
        <v>-21549.4</v>
      </c>
      <c r="Q32" s="50">
        <f t="shared" ref="Q32" si="75">SUM(Q33:Q35)</f>
        <v>-22716.6</v>
      </c>
      <c r="R32" s="50">
        <f t="shared" ref="R32" si="76">SUM(R33:R35)</f>
        <v>-25780</v>
      </c>
      <c r="S32" s="50">
        <f t="shared" ref="S32:T32" si="77">SUM(S33:S35)</f>
        <v>-26562.400000000001</v>
      </c>
      <c r="T32" s="50">
        <f t="shared" si="77"/>
        <v>-24967</v>
      </c>
      <c r="U32" s="50">
        <f t="shared" ref="U32:V32" si="78">SUM(U33:U35)</f>
        <v>-56808.800000000003</v>
      </c>
      <c r="V32" s="50">
        <f t="shared" si="78"/>
        <v>-52234.2</v>
      </c>
      <c r="W32" s="50">
        <f t="shared" ref="W32" si="79">SUM(W33:W35)</f>
        <v>-69039.22099999999</v>
      </c>
      <c r="X32" s="50">
        <f t="shared" ref="X32:Y32" si="80">SUM(X33:X35)</f>
        <v>-70420</v>
      </c>
      <c r="Y32" s="50">
        <f t="shared" si="80"/>
        <v>-77398.578999999998</v>
      </c>
      <c r="Z32" s="50">
        <f t="shared" ref="Z32:AA32" si="81">SUM(Z33:Z35)</f>
        <v>-71415</v>
      </c>
      <c r="AA32" s="50">
        <f t="shared" si="81"/>
        <v>-72642</v>
      </c>
      <c r="AB32" s="50">
        <f t="shared" ref="AB32:AC32" si="82">SUM(AB33:AB35)</f>
        <v>-76235</v>
      </c>
      <c r="AC32" s="50">
        <f t="shared" si="82"/>
        <v>-75996</v>
      </c>
      <c r="AD32" s="50">
        <f t="shared" ref="AD32:AE32" si="83">SUM(AD33:AD35)</f>
        <v>-72569</v>
      </c>
      <c r="AE32" s="50">
        <f t="shared" si="83"/>
        <v>-77037</v>
      </c>
      <c r="AF32" s="50">
        <f t="shared" ref="AF32" si="84">SUM(AF33:AF35)</f>
        <v>-79928</v>
      </c>
      <c r="AG32" s="50">
        <v>-69175</v>
      </c>
      <c r="AH32" s="50">
        <v>-67234</v>
      </c>
      <c r="AI32" s="50">
        <v>-68256.400000000009</v>
      </c>
      <c r="AJ32" s="50">
        <v>-70862.600000000006</v>
      </c>
      <c r="AK32" s="50">
        <v>-70575</v>
      </c>
      <c r="AL32" s="50">
        <v>-71733</v>
      </c>
      <c r="AM32" s="50">
        <v>-75398</v>
      </c>
    </row>
    <row r="33" spans="1:39" customFormat="1">
      <c r="B33" s="19" t="s">
        <v>104</v>
      </c>
      <c r="C33" s="1"/>
      <c r="D33" s="47">
        <f>Português!D33</f>
        <v>-78534</v>
      </c>
      <c r="E33" s="47">
        <f>Português!E33</f>
        <v>-93849.248949999994</v>
      </c>
      <c r="F33" s="47">
        <f>Português!F33</f>
        <v>-68980</v>
      </c>
      <c r="G33" s="47">
        <f>Português!G33</f>
        <v>-93808</v>
      </c>
      <c r="H33" s="47">
        <f>Português!H33</f>
        <v>-155741</v>
      </c>
      <c r="I33" s="47">
        <f>Português!I33</f>
        <v>-189607</v>
      </c>
      <c r="J33" s="47">
        <v>-190625</v>
      </c>
      <c r="K33" s="47">
        <v>-169552</v>
      </c>
      <c r="L33" s="47">
        <v>-43099</v>
      </c>
      <c r="M33" s="48"/>
      <c r="N33" s="47">
        <f>Português!N33</f>
        <v>-18169</v>
      </c>
      <c r="O33" s="47">
        <f>Português!O33</f>
        <v>-17872</v>
      </c>
      <c r="P33" s="47">
        <f>Português!P33</f>
        <v>-14706</v>
      </c>
      <c r="Q33" s="47">
        <f>Português!Q33</f>
        <v>-18233</v>
      </c>
      <c r="R33" s="47">
        <f>Português!R33</f>
        <v>-20773</v>
      </c>
      <c r="S33" s="47">
        <f>Português!S33</f>
        <v>-23339</v>
      </c>
      <c r="T33" s="47">
        <f>Português!T33</f>
        <v>-21243</v>
      </c>
      <c r="U33" s="47">
        <f>Português!U33</f>
        <v>-28453</v>
      </c>
      <c r="V33" s="47">
        <f>Português!V33</f>
        <v>-30061</v>
      </c>
      <c r="W33" s="47">
        <f>Português!W33</f>
        <v>-34542.233999999997</v>
      </c>
      <c r="X33" s="47">
        <f>Português!X33</f>
        <v>-43792</v>
      </c>
      <c r="Y33" s="47">
        <f>Português!Y33</f>
        <v>-47345.766000000003</v>
      </c>
      <c r="Z33" s="47">
        <f>Português!Z33</f>
        <v>-44543</v>
      </c>
      <c r="AA33" s="47">
        <f>Português!AA33</f>
        <v>-46709</v>
      </c>
      <c r="AB33" s="47">
        <f>Português!AB33</f>
        <v>-48157</v>
      </c>
      <c r="AC33" s="47">
        <f>Português!AC33</f>
        <v>-50198</v>
      </c>
      <c r="AD33" s="47">
        <f>Português!AD33</f>
        <v>-46336</v>
      </c>
      <c r="AE33" s="47">
        <f>Português!AE33</f>
        <v>-50488</v>
      </c>
      <c r="AF33" s="47">
        <f>Português!AF33</f>
        <v>-50492</v>
      </c>
      <c r="AG33" s="47">
        <v>-43309</v>
      </c>
      <c r="AH33" s="47">
        <v>-43422</v>
      </c>
      <c r="AI33" s="47">
        <v>-42434</v>
      </c>
      <c r="AJ33" s="47">
        <v>-41678</v>
      </c>
      <c r="AK33" s="47">
        <v>-42018</v>
      </c>
      <c r="AL33" s="47">
        <v>-43099</v>
      </c>
      <c r="AM33" s="47">
        <v>-43762</v>
      </c>
    </row>
    <row r="34" spans="1:39" customFormat="1">
      <c r="B34" s="19" t="s">
        <v>106</v>
      </c>
      <c r="C34" s="1"/>
      <c r="D34" s="47">
        <f>Português!D34</f>
        <v>-6571</v>
      </c>
      <c r="E34" s="47">
        <f>Português!E34</f>
        <v>-11908.931330000014</v>
      </c>
      <c r="F34" s="47">
        <f>Português!F34</f>
        <v>-8091</v>
      </c>
      <c r="G34" s="47">
        <f>Português!G34</f>
        <v>-8366.2000000000007</v>
      </c>
      <c r="H34" s="47">
        <f>Português!H34</f>
        <v>-15744</v>
      </c>
      <c r="I34" s="47">
        <f>Português!I34</f>
        <v>-19570</v>
      </c>
      <c r="J34" s="47">
        <v>-20334</v>
      </c>
      <c r="K34" s="47">
        <v>-21235</v>
      </c>
      <c r="L34" s="47">
        <v>-7775</v>
      </c>
      <c r="M34" s="48"/>
      <c r="N34" s="47">
        <f>Português!N34</f>
        <v>-1838</v>
      </c>
      <c r="O34" s="47">
        <f>Português!O34</f>
        <v>-1892</v>
      </c>
      <c r="P34" s="47">
        <f>Português!P34</f>
        <v>-3777.4000000000005</v>
      </c>
      <c r="Q34" s="47">
        <f>Português!Q34</f>
        <v>-583.59999999999945</v>
      </c>
      <c r="R34" s="47">
        <f>Português!R34</f>
        <v>-1764</v>
      </c>
      <c r="S34" s="47">
        <f>Português!S34</f>
        <v>-1828.4</v>
      </c>
      <c r="T34" s="47">
        <f>Português!T34</f>
        <v>-1842.0000000000005</v>
      </c>
      <c r="U34" s="47">
        <f>Português!U34</f>
        <v>-2931.8</v>
      </c>
      <c r="V34" s="47">
        <f>Português!V34</f>
        <v>-3477.2</v>
      </c>
      <c r="W34" s="47">
        <f>Português!W34</f>
        <v>-3749.9610000000011</v>
      </c>
      <c r="X34" s="47">
        <f>Português!X34</f>
        <v>-4081</v>
      </c>
      <c r="Y34" s="47">
        <f>Português!Y34</f>
        <v>-4435.8389999999999</v>
      </c>
      <c r="Z34" s="47">
        <f>Português!Z34</f>
        <v>-4749</v>
      </c>
      <c r="AA34" s="47">
        <f>Português!AA34</f>
        <v>-4661</v>
      </c>
      <c r="AB34" s="47">
        <f>Português!AB34</f>
        <v>-4905</v>
      </c>
      <c r="AC34" s="47">
        <f>Português!AC34</f>
        <v>-5255</v>
      </c>
      <c r="AD34" s="47">
        <f>Português!AD34</f>
        <v>-5514</v>
      </c>
      <c r="AE34" s="47">
        <f>Português!AE34</f>
        <v>-5674</v>
      </c>
      <c r="AF34" s="47">
        <f>Português!AF34</f>
        <v>-5816</v>
      </c>
      <c r="AG34" s="47">
        <v>-3330</v>
      </c>
      <c r="AH34" s="47">
        <v>-5232</v>
      </c>
      <c r="AI34" s="47">
        <v>-5214.3999999999996</v>
      </c>
      <c r="AJ34" s="47">
        <v>-5326.6</v>
      </c>
      <c r="AK34" s="47">
        <v>-5462</v>
      </c>
      <c r="AL34" s="47">
        <v>-7775</v>
      </c>
      <c r="AM34" s="47">
        <v>-7958</v>
      </c>
    </row>
    <row r="35" spans="1:39" customFormat="1">
      <c r="B35" s="19" t="s">
        <v>110</v>
      </c>
      <c r="C35" s="1"/>
      <c r="D35" s="47">
        <f>Português!D35</f>
        <v>-10922</v>
      </c>
      <c r="E35" s="47">
        <f>Português!E35</f>
        <v>-10808.819720000001</v>
      </c>
      <c r="F35" s="47">
        <f>Português!F35</f>
        <v>-12187</v>
      </c>
      <c r="G35" s="47">
        <f>Português!G35</f>
        <v>-31944</v>
      </c>
      <c r="H35" s="47">
        <f>Português!H35</f>
        <v>-97607</v>
      </c>
      <c r="I35" s="47">
        <f>Português!I35</f>
        <v>-87111</v>
      </c>
      <c r="J35" s="47">
        <v>-87750</v>
      </c>
      <c r="K35" s="47">
        <v>-86141</v>
      </c>
      <c r="L35" s="47">
        <v>-20859</v>
      </c>
      <c r="M35" s="48"/>
      <c r="N35" s="47">
        <f>Português!N35</f>
        <v>-2523</v>
      </c>
      <c r="O35" s="47">
        <f>Português!O35</f>
        <v>-2698</v>
      </c>
      <c r="P35" s="47">
        <f>Português!P35</f>
        <v>-3066</v>
      </c>
      <c r="Q35" s="47">
        <f>Português!Q35</f>
        <v>-3900</v>
      </c>
      <c r="R35" s="47">
        <f>Português!R35</f>
        <v>-3243</v>
      </c>
      <c r="S35" s="47">
        <f>Português!S35</f>
        <v>-1395</v>
      </c>
      <c r="T35" s="47">
        <f>Português!T35</f>
        <v>-1882</v>
      </c>
      <c r="U35" s="47">
        <f>Português!U35</f>
        <v>-25424</v>
      </c>
      <c r="V35" s="47">
        <f>Português!V35</f>
        <v>-18696</v>
      </c>
      <c r="W35" s="47">
        <f>Português!W35</f>
        <v>-30747.025999999998</v>
      </c>
      <c r="X35" s="47">
        <f>Português!X35</f>
        <v>-22547</v>
      </c>
      <c r="Y35" s="47">
        <f>Português!Y35</f>
        <v>-25616.974000000002</v>
      </c>
      <c r="Z35" s="47">
        <f>Português!Z35</f>
        <v>-22123</v>
      </c>
      <c r="AA35" s="47">
        <f>Português!AA35</f>
        <v>-21272</v>
      </c>
      <c r="AB35" s="47">
        <f>Português!AB35</f>
        <v>-23173</v>
      </c>
      <c r="AC35" s="47">
        <f>Português!AC35</f>
        <v>-20543</v>
      </c>
      <c r="AD35" s="47">
        <f>Português!AD35</f>
        <v>-20719</v>
      </c>
      <c r="AE35" s="47">
        <f>Português!AE35</f>
        <v>-20875</v>
      </c>
      <c r="AF35" s="47">
        <f>Português!AF35</f>
        <v>-23620</v>
      </c>
      <c r="AG35" s="47">
        <v>-22536</v>
      </c>
      <c r="AH35" s="47">
        <v>-18580</v>
      </c>
      <c r="AI35" s="47">
        <v>-20608</v>
      </c>
      <c r="AJ35" s="47">
        <v>-23858</v>
      </c>
      <c r="AK35" s="47">
        <v>-23095</v>
      </c>
      <c r="AL35" s="47">
        <v>-20859</v>
      </c>
      <c r="AM35" s="47">
        <v>-23678</v>
      </c>
    </row>
    <row r="36" spans="1:39" customFormat="1">
      <c r="B36" s="17" t="s">
        <v>184</v>
      </c>
      <c r="C36" s="1"/>
      <c r="D36" s="50">
        <f>Português!D36</f>
        <v>-4493</v>
      </c>
      <c r="E36" s="50">
        <f>Português!E36</f>
        <v>-8157</v>
      </c>
      <c r="F36" s="50">
        <f>Português!F36</f>
        <v>-56136</v>
      </c>
      <c r="G36" s="50">
        <f>Português!G36</f>
        <v>-28275</v>
      </c>
      <c r="H36" s="50">
        <f>Português!H36</f>
        <v>-16193</v>
      </c>
      <c r="I36" s="50">
        <f>Português!I36</f>
        <v>8048</v>
      </c>
      <c r="J36" s="50">
        <v>46529</v>
      </c>
      <c r="K36" s="50">
        <v>-20764</v>
      </c>
      <c r="L36" s="50">
        <v>-6713</v>
      </c>
      <c r="M36" s="48"/>
      <c r="N36" s="50">
        <f>Português!N36</f>
        <v>-9788</v>
      </c>
      <c r="O36" s="50">
        <f>Português!O36</f>
        <v>-3349</v>
      </c>
      <c r="P36" s="50">
        <f>Português!P36</f>
        <v>-4912</v>
      </c>
      <c r="Q36" s="50">
        <f>Português!Q36</f>
        <v>-38087</v>
      </c>
      <c r="R36" s="50">
        <f>Português!R36</f>
        <v>-9815</v>
      </c>
      <c r="S36" s="50">
        <f>Português!S36</f>
        <v>-8597</v>
      </c>
      <c r="T36" s="50">
        <f>Português!T36</f>
        <v>558</v>
      </c>
      <c r="U36" s="50">
        <f>Português!U36</f>
        <v>-10421</v>
      </c>
      <c r="V36" s="50">
        <f>Português!V36</f>
        <v>-2675</v>
      </c>
      <c r="W36" s="50">
        <f>Português!W36</f>
        <v>-5502.6545000000369</v>
      </c>
      <c r="X36" s="50">
        <f>Português!X36</f>
        <v>-4903</v>
      </c>
      <c r="Y36" s="50">
        <f>Português!Y36</f>
        <v>-3112.3454999999631</v>
      </c>
      <c r="Z36" s="50">
        <f>Português!Z36</f>
        <v>-1515</v>
      </c>
      <c r="AA36" s="50">
        <f>Português!AA36</f>
        <v>10300</v>
      </c>
      <c r="AB36" s="50">
        <f>Português!AB36</f>
        <v>-492</v>
      </c>
      <c r="AC36" s="50">
        <f>Português!AC36</f>
        <v>-245</v>
      </c>
      <c r="AD36" s="50">
        <f>Português!AD36</f>
        <v>-8392</v>
      </c>
      <c r="AE36" s="50">
        <f>Português!AE36</f>
        <v>-6028</v>
      </c>
      <c r="AF36" s="50">
        <f>Português!AF36</f>
        <v>70154</v>
      </c>
      <c r="AG36" s="50">
        <v>-9205</v>
      </c>
      <c r="AH36" s="50">
        <v>-7240</v>
      </c>
      <c r="AI36" s="50">
        <f>-8573</f>
        <v>-8573</v>
      </c>
      <c r="AJ36" s="50">
        <v>-2152</v>
      </c>
      <c r="AK36" s="50">
        <v>-2799</v>
      </c>
      <c r="AL36" s="50">
        <v>-6713</v>
      </c>
      <c r="AM36" s="50">
        <v>-2076</v>
      </c>
    </row>
    <row r="37" spans="1:39" customFormat="1">
      <c r="B37" s="17" t="s">
        <v>365</v>
      </c>
      <c r="C37" s="1"/>
      <c r="D37" s="50">
        <f>Português!D37</f>
        <v>0</v>
      </c>
      <c r="E37" s="50">
        <f>Português!E37</f>
        <v>0</v>
      </c>
      <c r="F37" s="50">
        <f>Português!F37</f>
        <v>0</v>
      </c>
      <c r="G37" s="50">
        <f>Português!G37</f>
        <v>0</v>
      </c>
      <c r="H37" s="50">
        <f>Português!H37</f>
        <v>0</v>
      </c>
      <c r="I37" s="50">
        <f>Português!I37</f>
        <v>0</v>
      </c>
      <c r="J37" s="50">
        <v>-754264</v>
      </c>
      <c r="K37" s="50">
        <v>0</v>
      </c>
      <c r="L37" s="50">
        <v>0</v>
      </c>
      <c r="M37" s="48"/>
      <c r="N37" s="50"/>
      <c r="O37" s="50"/>
      <c r="P37" s="50"/>
      <c r="Q37" s="50"/>
      <c r="R37" s="50"/>
      <c r="S37" s="50"/>
      <c r="T37" s="50"/>
      <c r="U37" s="50"/>
      <c r="V37" s="50">
        <f>Português!V37</f>
        <v>0</v>
      </c>
      <c r="W37" s="50">
        <f>Português!W37</f>
        <v>0</v>
      </c>
      <c r="X37" s="50">
        <f>Português!X37</f>
        <v>0</v>
      </c>
      <c r="Y37" s="50">
        <f>Português!Y37</f>
        <v>0</v>
      </c>
      <c r="Z37" s="50">
        <f>Português!Z37</f>
        <v>0</v>
      </c>
      <c r="AA37" s="50">
        <f>Português!AA37</f>
        <v>0</v>
      </c>
      <c r="AB37" s="50">
        <f>Português!AB37</f>
        <v>0</v>
      </c>
      <c r="AC37" s="50">
        <f>Português!AC37</f>
        <v>0</v>
      </c>
      <c r="AD37" s="50">
        <f>Português!AD37</f>
        <v>0</v>
      </c>
      <c r="AE37" s="50">
        <f>Português!AE37</f>
        <v>-744142</v>
      </c>
      <c r="AF37" s="50">
        <f>Português!AF37</f>
        <v>-10122</v>
      </c>
      <c r="AG37" s="50">
        <v>0</v>
      </c>
      <c r="AH37" s="50">
        <v>0</v>
      </c>
      <c r="AI37" s="50"/>
      <c r="AJ37" s="50">
        <v>0</v>
      </c>
      <c r="AK37" s="50">
        <v>0</v>
      </c>
      <c r="AL37" s="50">
        <v>0</v>
      </c>
      <c r="AM37" s="50">
        <v>0</v>
      </c>
    </row>
    <row r="38" spans="1:39" customFormat="1">
      <c r="B38" s="18" t="s">
        <v>221</v>
      </c>
      <c r="C38" s="1"/>
      <c r="D38" s="51">
        <f>(D30+D32+D36)</f>
        <v>184395.65302999999</v>
      </c>
      <c r="E38" s="51">
        <f t="shared" ref="E38:F38" si="85">(E30+E32+E36)</f>
        <v>210958.99999999994</v>
      </c>
      <c r="F38" s="51">
        <f t="shared" si="85"/>
        <v>116802</v>
      </c>
      <c r="G38" s="51">
        <f t="shared" ref="G38:H38" si="86">(G30+G32+G36)</f>
        <v>242267.8</v>
      </c>
      <c r="H38" s="51">
        <f t="shared" si="86"/>
        <v>337902</v>
      </c>
      <c r="I38" s="51">
        <f t="shared" ref="I38" si="87">(I30+I32+I36)</f>
        <v>423609</v>
      </c>
      <c r="J38" s="51">
        <v>-335847</v>
      </c>
      <c r="K38" s="51">
        <v>353725</v>
      </c>
      <c r="L38" s="51">
        <v>95475</v>
      </c>
      <c r="M38" s="48"/>
      <c r="N38" s="51">
        <f t="shared" ref="N38" si="88">(N30+N32+N36)</f>
        <v>27764</v>
      </c>
      <c r="O38" s="51">
        <f t="shared" ref="O38:P38" si="89">(O30+O32+O36)</f>
        <v>13778.75</v>
      </c>
      <c r="P38" s="51">
        <f t="shared" si="89"/>
        <v>56028.999999999993</v>
      </c>
      <c r="Q38" s="51">
        <f t="shared" ref="Q38" si="90">(Q30+Q32+Q36)</f>
        <v>19230.250000000007</v>
      </c>
      <c r="R38" s="51">
        <f t="shared" ref="R38" si="91">(R30+R32+R36)</f>
        <v>53270</v>
      </c>
      <c r="S38" s="51">
        <f t="shared" ref="S38:T38" si="92">(S30+S32+S36)</f>
        <v>83780</v>
      </c>
      <c r="T38" s="51">
        <f t="shared" si="92"/>
        <v>59909</v>
      </c>
      <c r="U38" s="51">
        <f t="shared" ref="U38:V38" si="93">(U30+U32+U36)</f>
        <v>45308.800000000003</v>
      </c>
      <c r="V38" s="51">
        <f t="shared" si="93"/>
        <v>64886.8</v>
      </c>
      <c r="W38" s="51">
        <f t="shared" ref="W38" si="94">(W30+W32+W36)</f>
        <v>87075.624499999976</v>
      </c>
      <c r="X38" s="51">
        <f t="shared" ref="X38:Y38" si="95">(X30+X32+X36)</f>
        <v>94132.999999999942</v>
      </c>
      <c r="Y38" s="51">
        <f t="shared" si="95"/>
        <v>91806.575499999919</v>
      </c>
      <c r="Z38" s="51">
        <f t="shared" ref="Z38:AA38" si="96">(Z30+Z32+Z36)</f>
        <v>106217</v>
      </c>
      <c r="AA38" s="51">
        <f t="shared" si="96"/>
        <v>122133</v>
      </c>
      <c r="AB38" s="51">
        <f t="shared" ref="AB38:AC38" si="97">(AB30+AB32+AB36)</f>
        <v>108758</v>
      </c>
      <c r="AC38" s="51">
        <f t="shared" si="97"/>
        <v>86501</v>
      </c>
      <c r="AD38" s="51">
        <f t="shared" ref="AD38" si="98">(AD30+AD32+AD36)</f>
        <v>112147</v>
      </c>
      <c r="AE38" s="51">
        <f>(AE30+AE32+AE36+AE37)</f>
        <v>-652319</v>
      </c>
      <c r="AF38" s="51">
        <f>(AF30+AF32+AF36+AF37)</f>
        <v>153678</v>
      </c>
      <c r="AG38" s="51">
        <v>50647</v>
      </c>
      <c r="AH38" s="51">
        <v>69314</v>
      </c>
      <c r="AI38" s="51">
        <v>87995.664574594717</v>
      </c>
      <c r="AJ38" s="51">
        <v>98105.335425405268</v>
      </c>
      <c r="AK38" s="51">
        <v>98310</v>
      </c>
      <c r="AL38" s="51">
        <v>95475</v>
      </c>
      <c r="AM38" s="51">
        <v>109258</v>
      </c>
    </row>
    <row r="39" spans="1:39" customFormat="1">
      <c r="B39" s="19" t="s">
        <v>111</v>
      </c>
      <c r="C39" s="1"/>
      <c r="D39" s="47">
        <f>Português!D39</f>
        <v>25584</v>
      </c>
      <c r="E39" s="47">
        <f>Português!E39</f>
        <v>22734</v>
      </c>
      <c r="F39" s="47">
        <f>Português!F39</f>
        <v>13244</v>
      </c>
      <c r="G39" s="47">
        <f>Português!G39</f>
        <v>66874</v>
      </c>
      <c r="H39" s="47">
        <f>Português!H39</f>
        <v>90426</v>
      </c>
      <c r="I39" s="47">
        <f>Português!I39</f>
        <v>59459</v>
      </c>
      <c r="J39" s="47">
        <v>89616</v>
      </c>
      <c r="K39" s="47">
        <v>115628</v>
      </c>
      <c r="L39" s="47">
        <v>25788</v>
      </c>
      <c r="M39" s="48"/>
      <c r="N39" s="47">
        <f>Português!N39</f>
        <v>4204</v>
      </c>
      <c r="O39" s="47">
        <f>Português!O39</f>
        <v>1547</v>
      </c>
      <c r="P39" s="47">
        <f>Português!P39</f>
        <v>4328</v>
      </c>
      <c r="Q39" s="47">
        <f>Português!Q39</f>
        <v>3165</v>
      </c>
      <c r="R39" s="47">
        <f>Português!R39</f>
        <v>4578</v>
      </c>
      <c r="S39" s="47">
        <f>Português!S39</f>
        <v>13827</v>
      </c>
      <c r="T39" s="47">
        <f>Português!T39</f>
        <v>21525</v>
      </c>
      <c r="U39" s="47">
        <f>Português!U39</f>
        <v>26944</v>
      </c>
      <c r="V39" s="47">
        <f>Português!V39</f>
        <v>30477</v>
      </c>
      <c r="W39" s="47">
        <f>Português!W39</f>
        <v>24531.033319999995</v>
      </c>
      <c r="X39" s="47">
        <f>Português!X39</f>
        <v>19271</v>
      </c>
      <c r="Y39" s="47">
        <f>Português!Y39</f>
        <v>16146.966680000012</v>
      </c>
      <c r="Z39" s="47">
        <f>Português!Z39</f>
        <v>12514</v>
      </c>
      <c r="AA39" s="47">
        <f>Português!AA39</f>
        <v>13843</v>
      </c>
      <c r="AB39" s="47">
        <f>Português!AB39</f>
        <v>14382</v>
      </c>
      <c r="AC39" s="47">
        <f>Português!AC39</f>
        <v>18720</v>
      </c>
      <c r="AD39" s="47">
        <f>Português!AD39</f>
        <v>13827</v>
      </c>
      <c r="AE39" s="47">
        <f>Português!AE39</f>
        <v>14019</v>
      </c>
      <c r="AF39" s="47">
        <f>Português!AF39</f>
        <v>34106</v>
      </c>
      <c r="AG39" s="47">
        <v>27664</v>
      </c>
      <c r="AH39" s="47">
        <v>26543</v>
      </c>
      <c r="AI39" s="47">
        <v>29909</v>
      </c>
      <c r="AJ39" s="47">
        <v>30202</v>
      </c>
      <c r="AK39" s="47">
        <v>28974</v>
      </c>
      <c r="AL39" s="47">
        <v>25788</v>
      </c>
      <c r="AM39" s="47">
        <v>28393</v>
      </c>
    </row>
    <row r="40" spans="1:39" customFormat="1">
      <c r="B40" s="19" t="s">
        <v>112</v>
      </c>
      <c r="C40" s="1"/>
      <c r="D40" s="47">
        <f>Português!D40</f>
        <v>-19573</v>
      </c>
      <c r="E40" s="47">
        <f>Português!E40</f>
        <v>-22595</v>
      </c>
      <c r="F40" s="47">
        <f>Português!F40</f>
        <v>-27284</v>
      </c>
      <c r="G40" s="47">
        <f>Português!G40</f>
        <v>-88662</v>
      </c>
      <c r="H40" s="47">
        <f>Português!H40</f>
        <v>-242494</v>
      </c>
      <c r="I40" s="47">
        <f>Português!I40</f>
        <v>-274275</v>
      </c>
      <c r="J40" s="47">
        <v>-252379</v>
      </c>
      <c r="K40" s="47">
        <v>-302268</v>
      </c>
      <c r="L40" s="47">
        <v>-70169</v>
      </c>
      <c r="M40" s="48"/>
      <c r="N40" s="47">
        <f>Português!N40</f>
        <v>-8912</v>
      </c>
      <c r="O40" s="47">
        <f>Português!O40</f>
        <v>-5515</v>
      </c>
      <c r="P40" s="47">
        <f>Português!P40</f>
        <v>-5361</v>
      </c>
      <c r="Q40" s="47">
        <f>Português!Q40</f>
        <v>-7496</v>
      </c>
      <c r="R40" s="47">
        <f>Português!R40</f>
        <v>-18271</v>
      </c>
      <c r="S40" s="47">
        <f>Português!S40</f>
        <v>-17385</v>
      </c>
      <c r="T40" s="47">
        <f>Português!T40</f>
        <v>-15828</v>
      </c>
      <c r="U40" s="47">
        <f>Português!U40</f>
        <v>-37178</v>
      </c>
      <c r="V40" s="47">
        <f>Português!V40</f>
        <v>-49809</v>
      </c>
      <c r="W40" s="47">
        <f>Português!W40</f>
        <v>-62867.966820000001</v>
      </c>
      <c r="X40" s="47">
        <f>Português!X40</f>
        <v>-58777</v>
      </c>
      <c r="Y40" s="47">
        <f>Português!Y40</f>
        <v>-71040.033179999999</v>
      </c>
      <c r="Z40" s="47">
        <f>Português!Z40</f>
        <v>-69855</v>
      </c>
      <c r="AA40" s="47">
        <f>Português!AA40</f>
        <v>-70545</v>
      </c>
      <c r="AB40" s="47">
        <f>Português!AB40</f>
        <v>-70260</v>
      </c>
      <c r="AC40" s="47">
        <f>Português!AC40</f>
        <v>-63615</v>
      </c>
      <c r="AD40" s="47">
        <f>Português!AD40</f>
        <v>-63114</v>
      </c>
      <c r="AE40" s="47">
        <f>Português!AE40</f>
        <v>-60646</v>
      </c>
      <c r="AF40" s="47">
        <f>Português!AF40</f>
        <v>-65963</v>
      </c>
      <c r="AG40" s="47">
        <v>-62656</v>
      </c>
      <c r="AH40" s="47">
        <v>-65683</v>
      </c>
      <c r="AI40" s="47">
        <v>-76328</v>
      </c>
      <c r="AJ40" s="47">
        <v>-85706</v>
      </c>
      <c r="AK40" s="47">
        <v>-74551</v>
      </c>
      <c r="AL40" s="47">
        <v>-70169</v>
      </c>
      <c r="AM40" s="47">
        <v>-71014</v>
      </c>
    </row>
    <row r="41" spans="1:39" customFormat="1">
      <c r="B41" s="17" t="s">
        <v>113</v>
      </c>
      <c r="C41" s="1"/>
      <c r="D41" s="50">
        <f>SUM(D39:D40)</f>
        <v>6011</v>
      </c>
      <c r="E41" s="50">
        <f t="shared" ref="E41:F41" si="99">SUM(E39:E40)</f>
        <v>139</v>
      </c>
      <c r="F41" s="50">
        <f t="shared" si="99"/>
        <v>-14040</v>
      </c>
      <c r="G41" s="50">
        <f t="shared" ref="G41:H41" si="100">SUM(G39:G40)</f>
        <v>-21788</v>
      </c>
      <c r="H41" s="50">
        <f t="shared" si="100"/>
        <v>-152068</v>
      </c>
      <c r="I41" s="50">
        <f t="shared" ref="I41" si="101">SUM(I39:I40)</f>
        <v>-214816</v>
      </c>
      <c r="J41" s="50">
        <v>-162763</v>
      </c>
      <c r="K41" s="50">
        <v>-186640</v>
      </c>
      <c r="L41" s="50">
        <v>-44381</v>
      </c>
      <c r="M41" s="48"/>
      <c r="N41" s="50">
        <f t="shared" ref="N41" si="102">SUM(N39:N40)</f>
        <v>-4708</v>
      </c>
      <c r="O41" s="50">
        <f t="shared" ref="O41:P41" si="103">SUM(O39:O40)</f>
        <v>-3968</v>
      </c>
      <c r="P41" s="50">
        <f t="shared" si="103"/>
        <v>-1033</v>
      </c>
      <c r="Q41" s="50">
        <f t="shared" ref="Q41" si="104">SUM(Q39:Q40)</f>
        <v>-4331</v>
      </c>
      <c r="R41" s="50">
        <f t="shared" ref="R41" si="105">SUM(R39:R40)</f>
        <v>-13693</v>
      </c>
      <c r="S41" s="50">
        <f t="shared" ref="S41:T41" si="106">SUM(S39:S40)</f>
        <v>-3558</v>
      </c>
      <c r="T41" s="50">
        <f t="shared" si="106"/>
        <v>5697</v>
      </c>
      <c r="U41" s="50">
        <f t="shared" ref="U41:V41" si="107">SUM(U39:U40)</f>
        <v>-10234</v>
      </c>
      <c r="V41" s="50">
        <f t="shared" si="107"/>
        <v>-19332</v>
      </c>
      <c r="W41" s="50">
        <f t="shared" ref="W41" si="108">SUM(W39:W40)</f>
        <v>-38336.933500000006</v>
      </c>
      <c r="X41" s="50">
        <f t="shared" ref="X41:Y41" si="109">SUM(X39:X40)</f>
        <v>-39506</v>
      </c>
      <c r="Y41" s="50">
        <f t="shared" si="109"/>
        <v>-54893.066499999986</v>
      </c>
      <c r="Z41" s="50">
        <f t="shared" ref="Z41:AA41" si="110">SUM(Z39:Z40)</f>
        <v>-57341</v>
      </c>
      <c r="AA41" s="50">
        <f t="shared" si="110"/>
        <v>-56702</v>
      </c>
      <c r="AB41" s="50">
        <f t="shared" ref="AB41:AC41" si="111">SUM(AB39:AB40)</f>
        <v>-55878</v>
      </c>
      <c r="AC41" s="50">
        <f t="shared" si="111"/>
        <v>-44895</v>
      </c>
      <c r="AD41" s="50">
        <f t="shared" ref="AD41:AE41" si="112">SUM(AD39:AD40)</f>
        <v>-49287</v>
      </c>
      <c r="AE41" s="50">
        <f t="shared" si="112"/>
        <v>-46627</v>
      </c>
      <c r="AF41" s="50">
        <f t="shared" ref="AF41" si="113">SUM(AF39:AF40)</f>
        <v>-31857</v>
      </c>
      <c r="AG41" s="50">
        <v>-34992</v>
      </c>
      <c r="AH41" s="50">
        <v>-39140</v>
      </c>
      <c r="AI41" s="50">
        <v>-46419</v>
      </c>
      <c r="AJ41" s="50">
        <v>-55504</v>
      </c>
      <c r="AK41" s="50">
        <v>-45577</v>
      </c>
      <c r="AL41" s="50">
        <v>-44381</v>
      </c>
      <c r="AM41" s="50">
        <v>-42621</v>
      </c>
    </row>
    <row r="42" spans="1:39" customFormat="1">
      <c r="B42" s="18" t="s">
        <v>222</v>
      </c>
      <c r="C42" s="1"/>
      <c r="D42" s="51">
        <f>D38+D41</f>
        <v>190406.65302999999</v>
      </c>
      <c r="E42" s="51">
        <f t="shared" ref="E42:F42" si="114">E38+E41</f>
        <v>211097.99999999994</v>
      </c>
      <c r="F42" s="51">
        <f t="shared" si="114"/>
        <v>102762</v>
      </c>
      <c r="G42" s="51">
        <f t="shared" ref="G42:H42" si="115">G38+G41</f>
        <v>220479.8</v>
      </c>
      <c r="H42" s="51">
        <f t="shared" si="115"/>
        <v>185834</v>
      </c>
      <c r="I42" s="51">
        <f t="shared" ref="I42" si="116">I38+I41</f>
        <v>208793</v>
      </c>
      <c r="J42" s="51">
        <v>-498610</v>
      </c>
      <c r="K42" s="51">
        <v>167085</v>
      </c>
      <c r="L42" s="51">
        <v>51094</v>
      </c>
      <c r="M42" s="48"/>
      <c r="N42" s="51">
        <f t="shared" ref="N42" si="117">N38+N41</f>
        <v>23056</v>
      </c>
      <c r="O42" s="51">
        <f t="shared" ref="O42:P42" si="118">O38+O41</f>
        <v>9810.75</v>
      </c>
      <c r="P42" s="51">
        <f t="shared" si="118"/>
        <v>54995.999999999993</v>
      </c>
      <c r="Q42" s="51">
        <f t="shared" ref="Q42" si="119">Q38+Q41</f>
        <v>14899.250000000007</v>
      </c>
      <c r="R42" s="51">
        <f t="shared" ref="R42" si="120">R38+R41</f>
        <v>39577</v>
      </c>
      <c r="S42" s="51">
        <f t="shared" ref="S42:T42" si="121">S38+S41</f>
        <v>80222</v>
      </c>
      <c r="T42" s="51">
        <f t="shared" si="121"/>
        <v>65606</v>
      </c>
      <c r="U42" s="51">
        <f t="shared" ref="U42:V42" si="122">U38+U41</f>
        <v>35074.800000000003</v>
      </c>
      <c r="V42" s="51">
        <f t="shared" si="122"/>
        <v>45554.8</v>
      </c>
      <c r="W42" s="51">
        <f t="shared" ref="W42" si="123">W38+W41</f>
        <v>48738.69099999997</v>
      </c>
      <c r="X42" s="51">
        <f t="shared" ref="X42:Y42" si="124">X38+X41</f>
        <v>54626.999999999942</v>
      </c>
      <c r="Y42" s="51">
        <f t="shared" si="124"/>
        <v>36913.508999999933</v>
      </c>
      <c r="Z42" s="51">
        <f t="shared" ref="Z42:AA42" si="125">Z38+Z41</f>
        <v>48876</v>
      </c>
      <c r="AA42" s="51">
        <f t="shared" si="125"/>
        <v>65431</v>
      </c>
      <c r="AB42" s="51">
        <f t="shared" ref="AB42:AC42" si="126">AB38+AB41</f>
        <v>52880</v>
      </c>
      <c r="AC42" s="51">
        <f t="shared" si="126"/>
        <v>41606</v>
      </c>
      <c r="AD42" s="51">
        <f t="shared" ref="AD42:AE42" si="127">AD38+AD41</f>
        <v>62860</v>
      </c>
      <c r="AE42" s="51">
        <f t="shared" si="127"/>
        <v>-698946</v>
      </c>
      <c r="AF42" s="51">
        <f t="shared" ref="AF42" si="128">AF38+AF41</f>
        <v>121821</v>
      </c>
      <c r="AG42" s="51">
        <v>15655</v>
      </c>
      <c r="AH42" s="51">
        <v>30174</v>
      </c>
      <c r="AI42" s="51">
        <v>41576.664574594717</v>
      </c>
      <c r="AJ42" s="51">
        <v>42601.335425405268</v>
      </c>
      <c r="AK42" s="51">
        <v>52733</v>
      </c>
      <c r="AL42" s="51">
        <v>51094</v>
      </c>
      <c r="AM42" s="51">
        <v>66637</v>
      </c>
    </row>
    <row r="43" spans="1:39" customFormat="1">
      <c r="B43" s="17" t="s">
        <v>114</v>
      </c>
      <c r="C43" s="1"/>
      <c r="D43" s="50">
        <f>Português!D43</f>
        <v>-65972</v>
      </c>
      <c r="E43" s="50">
        <f>Português!E43</f>
        <v>-72994</v>
      </c>
      <c r="F43" s="50">
        <f>Português!F43</f>
        <v>-30119</v>
      </c>
      <c r="G43" s="50">
        <f>Português!G43</f>
        <v>-73634</v>
      </c>
      <c r="H43" s="50">
        <f>Português!H43</f>
        <v>-63147</v>
      </c>
      <c r="I43" s="50">
        <f>Português!I43</f>
        <v>-67546</v>
      </c>
      <c r="J43" s="50">
        <v>174706</v>
      </c>
      <c r="K43" s="50">
        <v>-55169</v>
      </c>
      <c r="L43" s="50">
        <v>-18528</v>
      </c>
      <c r="M43" s="48"/>
      <c r="N43" s="50">
        <f>Português!N43</f>
        <v>-7659</v>
      </c>
      <c r="O43" s="50">
        <f>Português!O43</f>
        <v>-3335</v>
      </c>
      <c r="P43" s="50">
        <f>Português!P43</f>
        <v>-18341</v>
      </c>
      <c r="Q43" s="50">
        <f>Português!Q43</f>
        <v>-784</v>
      </c>
      <c r="R43" s="50">
        <f>Português!R43</f>
        <v>-13123</v>
      </c>
      <c r="S43" s="50">
        <f>Português!S43</f>
        <v>-26998</v>
      </c>
      <c r="T43" s="50">
        <f>Português!T43</f>
        <v>-21972</v>
      </c>
      <c r="U43" s="50">
        <f>Português!U43</f>
        <v>-11541</v>
      </c>
      <c r="V43" s="50">
        <f>Português!V43</f>
        <v>-14594</v>
      </c>
      <c r="W43" s="50">
        <f>Português!W43</f>
        <v>-13964.588000000003</v>
      </c>
      <c r="X43" s="50">
        <f>Português!X43</f>
        <v>-15365</v>
      </c>
      <c r="Y43" s="50">
        <f>Português!Y43</f>
        <v>-19223.411999999997</v>
      </c>
      <c r="Z43" s="50">
        <f>Português!Z43</f>
        <v>-16294</v>
      </c>
      <c r="AA43" s="50">
        <f>Português!AA43</f>
        <v>-20487</v>
      </c>
      <c r="AB43" s="50">
        <f>Português!AB43</f>
        <v>-17649</v>
      </c>
      <c r="AC43" s="50">
        <f>Português!AC43</f>
        <v>-13116</v>
      </c>
      <c r="AD43" s="50">
        <f>Português!AD43</f>
        <v>-16901</v>
      </c>
      <c r="AE43" s="50">
        <f>Português!AE43</f>
        <v>240407</v>
      </c>
      <c r="AF43" s="50">
        <f>Português!AF43</f>
        <v>-41290</v>
      </c>
      <c r="AG43" s="50">
        <v>-7510</v>
      </c>
      <c r="AH43" s="50">
        <v>-10001</v>
      </c>
      <c r="AI43" s="50">
        <v>-14486</v>
      </c>
      <c r="AJ43" s="50">
        <v>-15119</v>
      </c>
      <c r="AK43" s="50">
        <v>-15563</v>
      </c>
      <c r="AL43" s="50">
        <v>-18528</v>
      </c>
      <c r="AM43" s="50">
        <v>-21650</v>
      </c>
    </row>
    <row r="44" spans="1:39" customFormat="1">
      <c r="A44" s="65" t="s">
        <v>272</v>
      </c>
      <c r="B44" s="18" t="s">
        <v>115</v>
      </c>
      <c r="C44" s="1"/>
      <c r="D44" s="51">
        <f t="shared" ref="D44:I44" si="129">D42+D43</f>
        <v>124434.65302999999</v>
      </c>
      <c r="E44" s="51">
        <f t="shared" si="129"/>
        <v>138103.99999999994</v>
      </c>
      <c r="F44" s="51">
        <f t="shared" si="129"/>
        <v>72643</v>
      </c>
      <c r="G44" s="51">
        <f t="shared" si="129"/>
        <v>146845.79999999999</v>
      </c>
      <c r="H44" s="51">
        <f t="shared" si="129"/>
        <v>122687</v>
      </c>
      <c r="I44" s="51">
        <f t="shared" si="129"/>
        <v>141247</v>
      </c>
      <c r="J44" s="51">
        <v>-323904</v>
      </c>
      <c r="K44" s="51">
        <v>111916</v>
      </c>
      <c r="L44" s="51">
        <v>32566</v>
      </c>
      <c r="M44" s="48"/>
      <c r="N44" s="51">
        <f t="shared" ref="N44:T44" si="130">N42+N43</f>
        <v>15397</v>
      </c>
      <c r="O44" s="51">
        <f t="shared" si="130"/>
        <v>6475.75</v>
      </c>
      <c r="P44" s="51">
        <f t="shared" si="130"/>
        <v>36654.999999999993</v>
      </c>
      <c r="Q44" s="51">
        <f t="shared" ref="Q44" si="131">Q42+Q43</f>
        <v>14115.250000000007</v>
      </c>
      <c r="R44" s="51">
        <f t="shared" si="130"/>
        <v>26454</v>
      </c>
      <c r="S44" s="51">
        <f t="shared" si="130"/>
        <v>53224</v>
      </c>
      <c r="T44" s="51">
        <f t="shared" si="130"/>
        <v>43634</v>
      </c>
      <c r="U44" s="51">
        <f t="shared" ref="U44:V44" si="132">U42+U43</f>
        <v>23533.800000000003</v>
      </c>
      <c r="V44" s="51">
        <f t="shared" si="132"/>
        <v>30960.800000000003</v>
      </c>
      <c r="W44" s="51">
        <f t="shared" ref="W44" si="133">W42+W43</f>
        <v>34774.102999999966</v>
      </c>
      <c r="X44" s="51">
        <f t="shared" ref="X44:Y44" si="134">X42+X43</f>
        <v>39261.999999999942</v>
      </c>
      <c r="Y44" s="51">
        <f t="shared" si="134"/>
        <v>17690.096999999936</v>
      </c>
      <c r="Z44" s="51">
        <f t="shared" ref="Z44:AA44" si="135">Z42+Z43</f>
        <v>32582</v>
      </c>
      <c r="AA44" s="51">
        <f t="shared" si="135"/>
        <v>44944</v>
      </c>
      <c r="AB44" s="51">
        <f t="shared" ref="AB44:AC44" si="136">AB42+AB43</f>
        <v>35231</v>
      </c>
      <c r="AC44" s="51">
        <f t="shared" si="136"/>
        <v>28490</v>
      </c>
      <c r="AD44" s="51">
        <f t="shared" ref="AD44:AE44" si="137">AD42+AD43</f>
        <v>45959</v>
      </c>
      <c r="AE44" s="51">
        <f t="shared" si="137"/>
        <v>-458539</v>
      </c>
      <c r="AF44" s="51">
        <f t="shared" ref="AF44" si="138">AF42+AF43</f>
        <v>80531</v>
      </c>
      <c r="AG44" s="51">
        <v>8145</v>
      </c>
      <c r="AH44" s="51">
        <v>20173</v>
      </c>
      <c r="AI44" s="51">
        <v>27090.664574594717</v>
      </c>
      <c r="AJ44" s="51">
        <v>27482.335425405268</v>
      </c>
      <c r="AK44" s="51">
        <v>37170</v>
      </c>
      <c r="AL44" s="51">
        <v>32566</v>
      </c>
      <c r="AM44" s="51">
        <v>44987</v>
      </c>
    </row>
    <row r="45" spans="1:39" s="3" customFormat="1">
      <c r="B45" s="20" t="s">
        <v>183</v>
      </c>
      <c r="C45" s="1"/>
      <c r="D45" s="10">
        <f t="shared" ref="D45:I45" si="139">D44/D22</f>
        <v>0.19860100777903331</v>
      </c>
      <c r="E45" s="10">
        <f t="shared" si="139"/>
        <v>0.18850211359209643</v>
      </c>
      <c r="F45" s="10">
        <f t="shared" si="139"/>
        <v>0.10119368512845801</v>
      </c>
      <c r="G45" s="10">
        <f t="shared" si="139"/>
        <v>0.14336028147646274</v>
      </c>
      <c r="H45" s="10">
        <f t="shared" si="139"/>
        <v>6.9584693602067232E-2</v>
      </c>
      <c r="I45" s="10">
        <f t="shared" si="139"/>
        <v>6.4565187083031453E-2</v>
      </c>
      <c r="J45" s="10">
        <v>-0.14550936859417404</v>
      </c>
      <c r="K45" s="10">
        <v>5.1448890605139096E-2</v>
      </c>
      <c r="L45" s="10">
        <v>5.6640658969872582E-2</v>
      </c>
      <c r="M45"/>
      <c r="N45" s="10">
        <f t="shared" ref="N45:T45" si="140">N44/N22</f>
        <v>9.0442372871399959E-2</v>
      </c>
      <c r="O45" s="10">
        <f t="shared" si="140"/>
        <v>4.4978060541445347E-2</v>
      </c>
      <c r="P45" s="10">
        <f t="shared" si="140"/>
        <v>0.18762988974088593</v>
      </c>
      <c r="Q45" s="10">
        <f t="shared" ref="Q45" si="141">Q44/Q22</f>
        <v>6.7768515684544742E-2</v>
      </c>
      <c r="R45" s="10">
        <f t="shared" si="140"/>
        <v>0.11666078673487387</v>
      </c>
      <c r="S45" s="10">
        <f t="shared" si="140"/>
        <v>0.19791023686461162</v>
      </c>
      <c r="T45" s="10">
        <f t="shared" si="140"/>
        <v>0.18150431360803987</v>
      </c>
      <c r="U45" s="10">
        <f t="shared" ref="U45:V45" si="142">U44/U22</f>
        <v>8.1651926820044352E-2</v>
      </c>
      <c r="V45" s="10">
        <f t="shared" si="142"/>
        <v>9.0336623610045325E-2</v>
      </c>
      <c r="W45" s="10">
        <f t="shared" ref="W45" si="143">W44/W22</f>
        <v>8.0049558888241001E-2</v>
      </c>
      <c r="X45" s="10">
        <f t="shared" ref="X45:Y45" si="144">X44/X22</f>
        <v>8.2851499523089928E-2</v>
      </c>
      <c r="Y45" s="10">
        <f t="shared" si="144"/>
        <v>3.4543291452144194E-2</v>
      </c>
      <c r="Z45" s="10">
        <f t="shared" ref="Z45:AA45" si="145">Z44/Z22</f>
        <v>6.2172388986736229E-2</v>
      </c>
      <c r="AA45" s="10">
        <f t="shared" si="145"/>
        <v>8.1103662332740842E-2</v>
      </c>
      <c r="AB45" s="10">
        <f t="shared" ref="AB45:AC45" si="146">AB44/AB22</f>
        <v>6.2001629630411788E-2</v>
      </c>
      <c r="AC45" s="10">
        <f t="shared" si="146"/>
        <v>5.2639942057262794E-2</v>
      </c>
      <c r="AD45" s="10">
        <f t="shared" ref="AD45:AE45" si="147">AD44/AD22</f>
        <v>7.8859092071194362E-2</v>
      </c>
      <c r="AE45" s="10">
        <f t="shared" si="147"/>
        <v>-0.78336804232731916</v>
      </c>
      <c r="AF45" s="10">
        <f t="shared" ref="AF45" si="148">AF44/AF22</f>
        <v>0.14107925251523681</v>
      </c>
      <c r="AG45" s="10">
        <v>1.6723541078930187E-2</v>
      </c>
      <c r="AH45" s="10">
        <v>4.0401107110098172E-2</v>
      </c>
      <c r="AI45" s="10">
        <f>AI44/AI22</f>
        <v>4.96341464557888E-2</v>
      </c>
      <c r="AJ45" s="10">
        <v>4.8396577704255241E-2</v>
      </c>
      <c r="AK45" s="10">
        <v>6.6103150792366394E-2</v>
      </c>
      <c r="AL45" s="10">
        <v>5.6640658969872582E-2</v>
      </c>
      <c r="AM45" s="10">
        <v>7.3312550009533392E-2</v>
      </c>
    </row>
    <row r="46" spans="1:39" s="79" customFormat="1">
      <c r="B46" s="80" t="s">
        <v>303</v>
      </c>
      <c r="D46" s="50">
        <f>Português!D46</f>
        <v>124434.65302999999</v>
      </c>
      <c r="E46" s="50">
        <f>Português!E46</f>
        <v>138103.99999999994</v>
      </c>
      <c r="F46" s="50">
        <f>Português!F46</f>
        <v>72643</v>
      </c>
      <c r="G46" s="50">
        <f>Português!G46</f>
        <v>144919</v>
      </c>
      <c r="H46" s="50">
        <f>Português!H46</f>
        <v>103505</v>
      </c>
      <c r="I46" s="50">
        <f>Português!I46</f>
        <v>119654</v>
      </c>
      <c r="J46" s="50">
        <v>-338440</v>
      </c>
      <c r="K46" s="50">
        <v>110511</v>
      </c>
      <c r="L46" s="50">
        <v>33205</v>
      </c>
      <c r="M46" s="81"/>
      <c r="N46" s="50">
        <f t="shared" ref="N46:T46" si="149">N44</f>
        <v>15397</v>
      </c>
      <c r="O46" s="50">
        <f t="shared" si="149"/>
        <v>6475.75</v>
      </c>
      <c r="P46" s="50">
        <f t="shared" si="149"/>
        <v>36654.999999999993</v>
      </c>
      <c r="Q46" s="50">
        <f t="shared" si="149"/>
        <v>14115.250000000007</v>
      </c>
      <c r="R46" s="50">
        <f t="shared" si="149"/>
        <v>26454</v>
      </c>
      <c r="S46" s="50">
        <f t="shared" si="149"/>
        <v>53224</v>
      </c>
      <c r="T46" s="50">
        <f t="shared" si="149"/>
        <v>43634</v>
      </c>
      <c r="U46" s="50">
        <v>21607</v>
      </c>
      <c r="V46" s="50">
        <v>26585</v>
      </c>
      <c r="W46" s="50">
        <v>29221.352949999971</v>
      </c>
      <c r="X46" s="50">
        <f>Português!X46</f>
        <v>33725</v>
      </c>
      <c r="Y46" s="50">
        <f>Português!Y46</f>
        <v>13973.647050000029</v>
      </c>
      <c r="Z46" s="50">
        <f>Português!Z46</f>
        <v>27213</v>
      </c>
      <c r="AA46" s="50">
        <f>Português!AA46</f>
        <v>38092</v>
      </c>
      <c r="AB46" s="50">
        <f>Português!AB46</f>
        <v>28548</v>
      </c>
      <c r="AC46" s="50">
        <f>Português!AC46</f>
        <v>25801</v>
      </c>
      <c r="AD46" s="50">
        <f>Português!AD46</f>
        <v>42183</v>
      </c>
      <c r="AE46" s="50">
        <f>Português!AE46</f>
        <v>-464267</v>
      </c>
      <c r="AF46" s="50">
        <f>Português!AF46</f>
        <v>75366</v>
      </c>
      <c r="AG46" s="50">
        <v>8278</v>
      </c>
      <c r="AH46" s="50">
        <v>19931</v>
      </c>
      <c r="AI46" s="50">
        <v>26234.54</v>
      </c>
      <c r="AJ46" s="50">
        <v>26865</v>
      </c>
      <c r="AK46" s="50">
        <v>37480</v>
      </c>
      <c r="AL46" s="50">
        <v>33205</v>
      </c>
      <c r="AM46" s="50">
        <v>44245</v>
      </c>
    </row>
    <row r="47" spans="1:39" s="79" customFormat="1">
      <c r="B47" s="80" t="s">
        <v>304</v>
      </c>
      <c r="D47" s="50">
        <f>Português!D47</f>
        <v>0</v>
      </c>
      <c r="E47" s="50">
        <f>Português!E47</f>
        <v>0</v>
      </c>
      <c r="F47" s="50">
        <f>Português!F47</f>
        <v>0</v>
      </c>
      <c r="G47" s="50">
        <f>Português!G47</f>
        <v>1927</v>
      </c>
      <c r="H47" s="50">
        <f>Português!H47</f>
        <v>19181.999999999825</v>
      </c>
      <c r="I47" s="50">
        <f>Português!I47</f>
        <v>21593</v>
      </c>
      <c r="J47" s="50">
        <v>14536</v>
      </c>
      <c r="K47" s="50">
        <v>1405</v>
      </c>
      <c r="L47" s="50">
        <v>-639</v>
      </c>
      <c r="M47" s="81"/>
      <c r="N47" s="50"/>
      <c r="O47" s="50"/>
      <c r="P47" s="50"/>
      <c r="Q47" s="50"/>
      <c r="R47" s="50"/>
      <c r="S47" s="50"/>
      <c r="T47" s="50"/>
      <c r="U47" s="50">
        <v>1927</v>
      </c>
      <c r="V47" s="50">
        <v>4376</v>
      </c>
      <c r="W47" s="50">
        <f t="shared" ref="W47:AB47" si="150">W44-W46</f>
        <v>5552.7500499999951</v>
      </c>
      <c r="X47" s="50">
        <f t="shared" si="150"/>
        <v>5536.9999999999418</v>
      </c>
      <c r="Y47" s="50">
        <f t="shared" si="150"/>
        <v>3716.4499499999074</v>
      </c>
      <c r="Z47" s="50">
        <f t="shared" si="150"/>
        <v>5369</v>
      </c>
      <c r="AA47" s="50">
        <f t="shared" si="150"/>
        <v>6852</v>
      </c>
      <c r="AB47" s="50">
        <f t="shared" si="150"/>
        <v>6683</v>
      </c>
      <c r="AC47" s="50">
        <f t="shared" ref="AC47:AD47" si="151">AC44-AC46</f>
        <v>2689</v>
      </c>
      <c r="AD47" s="50">
        <f t="shared" si="151"/>
        <v>3776</v>
      </c>
      <c r="AE47" s="50">
        <f t="shared" ref="AE47:AF47" si="152">AE44-AE46</f>
        <v>5728</v>
      </c>
      <c r="AF47" s="50">
        <f t="shared" si="152"/>
        <v>5165</v>
      </c>
      <c r="AG47" s="50">
        <v>-133</v>
      </c>
      <c r="AH47" s="50">
        <v>242</v>
      </c>
      <c r="AI47" s="50">
        <v>856.45999999999913</v>
      </c>
      <c r="AJ47" s="50">
        <v>616.54000000000087</v>
      </c>
      <c r="AK47" s="50">
        <v>-310</v>
      </c>
      <c r="AL47" s="50">
        <v>-639</v>
      </c>
      <c r="AM47" s="50">
        <v>742</v>
      </c>
    </row>
    <row r="48" spans="1:39">
      <c r="K48" s="92"/>
      <c r="L48" s="93"/>
      <c r="AG48" s="93"/>
      <c r="AH48" s="93"/>
      <c r="AI48" s="93"/>
      <c r="AJ48" s="93"/>
      <c r="AK48" s="93"/>
      <c r="AL48" s="93"/>
      <c r="AM48" s="93"/>
    </row>
    <row r="49" spans="1:39">
      <c r="AM49" s="1"/>
    </row>
    <row r="50" spans="1:39">
      <c r="B50" s="67" t="s">
        <v>313</v>
      </c>
      <c r="D50" s="63">
        <f>D6</f>
        <v>2018</v>
      </c>
      <c r="E50" s="63">
        <f t="shared" ref="E50:W50" si="153">E6</f>
        <v>2019</v>
      </c>
      <c r="F50" s="63">
        <f t="shared" si="153"/>
        <v>2020</v>
      </c>
      <c r="G50" s="63">
        <f t="shared" si="153"/>
        <v>2021</v>
      </c>
      <c r="H50" s="63">
        <v>2022</v>
      </c>
      <c r="I50" s="63">
        <v>2023</v>
      </c>
      <c r="J50" s="63">
        <v>2024</v>
      </c>
      <c r="K50" s="63">
        <v>2025</v>
      </c>
      <c r="L50" s="63" t="s">
        <v>408</v>
      </c>
      <c r="N50" s="68" t="str">
        <f t="shared" si="153"/>
        <v>1Q20</v>
      </c>
      <c r="O50" s="68" t="str">
        <f t="shared" si="153"/>
        <v>2Q20</v>
      </c>
      <c r="P50" s="68" t="str">
        <f t="shared" si="153"/>
        <v>3Q20</v>
      </c>
      <c r="Q50" s="68" t="str">
        <f t="shared" si="153"/>
        <v>4Q20</v>
      </c>
      <c r="R50" s="68" t="str">
        <f t="shared" si="153"/>
        <v>1Q21</v>
      </c>
      <c r="S50" s="68" t="str">
        <f t="shared" si="153"/>
        <v>2Q21</v>
      </c>
      <c r="T50" s="68" t="str">
        <f t="shared" si="153"/>
        <v>3Q21</v>
      </c>
      <c r="U50" s="68" t="str">
        <f t="shared" si="153"/>
        <v>4Q21</v>
      </c>
      <c r="V50" s="63" t="str">
        <f t="shared" si="153"/>
        <v>1Q22</v>
      </c>
      <c r="W50" s="63" t="str">
        <f t="shared" si="153"/>
        <v>2Q22</v>
      </c>
      <c r="X50" s="63" t="s">
        <v>319</v>
      </c>
      <c r="Y50" s="63" t="s">
        <v>332</v>
      </c>
      <c r="Z50" s="63" t="s">
        <v>338</v>
      </c>
      <c r="AA50" s="63" t="s">
        <v>341</v>
      </c>
      <c r="AB50" s="63" t="s">
        <v>344</v>
      </c>
      <c r="AC50" s="63" t="s">
        <v>351</v>
      </c>
      <c r="AD50" s="63" t="s">
        <v>354</v>
      </c>
      <c r="AE50" s="63" t="s">
        <v>366</v>
      </c>
      <c r="AF50" s="63" t="s">
        <v>375</v>
      </c>
      <c r="AG50" s="63" t="s">
        <v>387</v>
      </c>
      <c r="AH50" s="63" t="s">
        <v>393</v>
      </c>
      <c r="AI50" s="63" t="s">
        <v>398</v>
      </c>
      <c r="AJ50" s="63" t="s">
        <v>400</v>
      </c>
      <c r="AK50" s="63" t="s">
        <v>405</v>
      </c>
      <c r="AL50" s="63" t="s">
        <v>408</v>
      </c>
      <c r="AM50" s="63" t="s">
        <v>416</v>
      </c>
    </row>
    <row r="51" spans="1:39">
      <c r="B51" s="22" t="s">
        <v>317</v>
      </c>
      <c r="D51" s="47">
        <f>Português!D51</f>
        <v>0</v>
      </c>
      <c r="E51" s="47">
        <f>Português!E51</f>
        <v>0</v>
      </c>
      <c r="F51" s="47">
        <f>Português!F51</f>
        <v>0</v>
      </c>
      <c r="G51" s="47">
        <f>Português!G51</f>
        <v>0</v>
      </c>
      <c r="H51" s="47">
        <f>Português!H51</f>
        <v>71906</v>
      </c>
      <c r="I51" s="47">
        <f>Português!I51</f>
        <v>71724</v>
      </c>
      <c r="J51" s="47">
        <v>67600</v>
      </c>
      <c r="K51" s="47"/>
      <c r="L51" s="47">
        <v>0</v>
      </c>
      <c r="M51" s="48"/>
      <c r="N51" s="47">
        <f>Português!N51</f>
        <v>0</v>
      </c>
      <c r="O51" s="47">
        <f>Português!O51</f>
        <v>0</v>
      </c>
      <c r="P51" s="47">
        <f>Português!P51</f>
        <v>0</v>
      </c>
      <c r="Q51" s="47">
        <f>Português!Q51</f>
        <v>0</v>
      </c>
      <c r="R51" s="47">
        <f>Português!R51</f>
        <v>0</v>
      </c>
      <c r="S51" s="47">
        <f>Português!S51</f>
        <v>0</v>
      </c>
      <c r="T51" s="47">
        <f>Português!T51</f>
        <v>0</v>
      </c>
      <c r="U51" s="47">
        <f>Português!U51</f>
        <v>0</v>
      </c>
      <c r="V51" s="47">
        <f>Português!V51</f>
        <v>17976.5</v>
      </c>
      <c r="W51" s="47">
        <f>Português!W51</f>
        <v>17976.5</v>
      </c>
      <c r="X51" s="47">
        <f>Português!X51</f>
        <v>17976.5</v>
      </c>
      <c r="Y51" s="47">
        <f>Português!Y51</f>
        <v>17976.5</v>
      </c>
      <c r="Z51" s="47">
        <f>Português!Z51</f>
        <v>17931</v>
      </c>
      <c r="AA51" s="47">
        <f>Português!AA51</f>
        <v>17931</v>
      </c>
      <c r="AB51" s="47">
        <f>Português!AB51</f>
        <v>17931</v>
      </c>
      <c r="AC51" s="47">
        <f>Português!AC51</f>
        <v>17931</v>
      </c>
      <c r="AD51" s="47">
        <f>Português!AD51</f>
        <v>17954</v>
      </c>
      <c r="AE51" s="47">
        <f>Português!AE51</f>
        <v>18162</v>
      </c>
      <c r="AF51" s="47">
        <f>Português!AF51</f>
        <v>15000</v>
      </c>
      <c r="AG51" s="47">
        <v>16484</v>
      </c>
      <c r="AH51" s="47"/>
      <c r="AI51" s="47"/>
      <c r="AJ51" s="47"/>
      <c r="AK51" s="47"/>
      <c r="AL51" s="47">
        <v>0</v>
      </c>
      <c r="AM51" s="47">
        <v>0</v>
      </c>
    </row>
    <row r="52" spans="1:39">
      <c r="B52" s="22" t="s">
        <v>298</v>
      </c>
      <c r="D52" s="47">
        <f>Português!D52</f>
        <v>0</v>
      </c>
      <c r="E52" s="47">
        <f>Português!E52</f>
        <v>0</v>
      </c>
      <c r="F52" s="47">
        <f>Português!F52</f>
        <v>0</v>
      </c>
      <c r="G52" s="47">
        <f>Português!G52</f>
        <v>11080.079999999998</v>
      </c>
      <c r="H52" s="47">
        <f>Português!H52</f>
        <v>9225.48</v>
      </c>
      <c r="I52" s="47">
        <f>Português!I52</f>
        <v>0</v>
      </c>
      <c r="J52" s="47">
        <v>0</v>
      </c>
      <c r="K52" s="47"/>
      <c r="L52" s="47">
        <v>0</v>
      </c>
      <c r="M52" s="48"/>
      <c r="N52" s="47">
        <f>Português!N52</f>
        <v>0</v>
      </c>
      <c r="O52" s="47">
        <f>Português!O52</f>
        <v>0</v>
      </c>
      <c r="P52" s="47">
        <f>Português!P52</f>
        <v>0</v>
      </c>
      <c r="Q52" s="47">
        <f>Português!Q52</f>
        <v>0</v>
      </c>
      <c r="R52" s="47">
        <f>Português!R52</f>
        <v>0</v>
      </c>
      <c r="S52" s="47">
        <f>Português!S52</f>
        <v>0</v>
      </c>
      <c r="T52" s="47">
        <f>Português!T52</f>
        <v>0</v>
      </c>
      <c r="U52" s="47">
        <f>Português!U52</f>
        <v>11080.079999999998</v>
      </c>
      <c r="V52" s="47">
        <f>Português!V52</f>
        <v>1454.2543883999997</v>
      </c>
      <c r="W52" s="47">
        <f>Português!W52</f>
        <v>6433.1312232</v>
      </c>
      <c r="X52" s="47">
        <f>Português!X52</f>
        <v>1338.0943883999998</v>
      </c>
      <c r="Y52" s="47">
        <f>Português!Y52</f>
        <v>0</v>
      </c>
      <c r="Z52" s="47">
        <f>Português!Z52</f>
        <v>0</v>
      </c>
      <c r="AA52" s="47">
        <f>Português!AA52</f>
        <v>0</v>
      </c>
      <c r="AB52" s="47">
        <f>Português!AB52</f>
        <v>0</v>
      </c>
      <c r="AC52" s="47">
        <f>Português!AC52</f>
        <v>0</v>
      </c>
      <c r="AD52" s="47">
        <f>Português!AD52</f>
        <v>0</v>
      </c>
      <c r="AE52" s="47">
        <f>Português!AE52</f>
        <v>0</v>
      </c>
      <c r="AF52" s="47">
        <f>Português!AF52</f>
        <v>0</v>
      </c>
      <c r="AG52" s="47"/>
      <c r="AH52" s="47"/>
      <c r="AI52" s="47"/>
      <c r="AJ52" s="47"/>
      <c r="AK52" s="47"/>
      <c r="AL52" s="47">
        <v>0</v>
      </c>
      <c r="AM52" s="47">
        <v>0</v>
      </c>
    </row>
    <row r="53" spans="1:39">
      <c r="B53" s="24" t="s">
        <v>299</v>
      </c>
      <c r="D53" s="47">
        <f>Português!D53</f>
        <v>0</v>
      </c>
      <c r="E53" s="47">
        <f>Português!E53</f>
        <v>0</v>
      </c>
      <c r="F53" s="47">
        <f>Português!F53</f>
        <v>0</v>
      </c>
      <c r="G53" s="47">
        <f>Português!G53</f>
        <v>2242.0199999999995</v>
      </c>
      <c r="H53" s="47">
        <f>Português!H53</f>
        <v>4693.5893399999995</v>
      </c>
      <c r="I53" s="47">
        <f>Português!I53</f>
        <v>0</v>
      </c>
      <c r="J53" s="47">
        <v>0</v>
      </c>
      <c r="K53" s="47"/>
      <c r="L53" s="47">
        <v>0</v>
      </c>
      <c r="M53" s="48"/>
      <c r="N53" s="47">
        <f>Português!N53</f>
        <v>0</v>
      </c>
      <c r="O53" s="47">
        <f>Português!O53</f>
        <v>0</v>
      </c>
      <c r="P53" s="47">
        <f>Português!P53</f>
        <v>0</v>
      </c>
      <c r="Q53" s="47">
        <f>Português!Q53</f>
        <v>0</v>
      </c>
      <c r="R53" s="47">
        <f>Português!R53</f>
        <v>0</v>
      </c>
      <c r="S53" s="47">
        <f>Português!S53</f>
        <v>69.959999999999994</v>
      </c>
      <c r="T53" s="47">
        <f>Português!T53</f>
        <v>458.69999999999993</v>
      </c>
      <c r="U53" s="47">
        <f>Português!U53</f>
        <v>1713.36</v>
      </c>
      <c r="V53" s="47">
        <f>Português!V53</f>
        <v>2478.2999999999997</v>
      </c>
      <c r="W53" s="47">
        <f>Português!W53</f>
        <v>2215.2893399999998</v>
      </c>
      <c r="X53" s="47">
        <f>Português!X53</f>
        <v>0</v>
      </c>
      <c r="Y53" s="47">
        <f>Português!Y53</f>
        <v>0</v>
      </c>
      <c r="Z53" s="47">
        <f>Português!Z53</f>
        <v>0</v>
      </c>
      <c r="AA53" s="47">
        <f>Português!AA53</f>
        <v>0</v>
      </c>
      <c r="AB53" s="47">
        <f>Português!AB53</f>
        <v>0</v>
      </c>
      <c r="AC53" s="47">
        <f>Português!AC53</f>
        <v>0</v>
      </c>
      <c r="AD53" s="47">
        <f>Português!AD53</f>
        <v>0</v>
      </c>
      <c r="AE53" s="47">
        <f>Português!AE53</f>
        <v>0</v>
      </c>
      <c r="AF53" s="47">
        <f>Português!AF53</f>
        <v>0</v>
      </c>
      <c r="AG53" s="47"/>
      <c r="AH53" s="47"/>
      <c r="AI53" s="47"/>
      <c r="AJ53" s="47"/>
      <c r="AK53" s="47"/>
      <c r="AL53" s="47">
        <v>0</v>
      </c>
      <c r="AM53" s="47">
        <v>0</v>
      </c>
    </row>
    <row r="54" spans="1:39">
      <c r="B54" s="24" t="s">
        <v>367</v>
      </c>
      <c r="D54" s="47"/>
      <c r="E54" s="47"/>
      <c r="F54" s="47"/>
      <c r="G54" s="47"/>
      <c r="H54" s="47"/>
      <c r="I54" s="47">
        <f>Português!I54</f>
        <v>0</v>
      </c>
      <c r="J54" s="47">
        <v>3475.2068999999997</v>
      </c>
      <c r="K54" s="47"/>
      <c r="L54" s="47">
        <v>0</v>
      </c>
      <c r="M54" s="48"/>
      <c r="N54" s="47"/>
      <c r="O54" s="47"/>
      <c r="P54" s="47"/>
      <c r="Q54" s="47"/>
      <c r="R54" s="47"/>
      <c r="S54" s="47"/>
      <c r="T54" s="47"/>
      <c r="U54" s="47"/>
      <c r="V54" s="47">
        <f>Português!V54</f>
        <v>0</v>
      </c>
      <c r="W54" s="47">
        <f>Português!W54</f>
        <v>0</v>
      </c>
      <c r="X54" s="47">
        <f>Português!X54</f>
        <v>0</v>
      </c>
      <c r="Y54" s="47">
        <f>Português!Y54</f>
        <v>0</v>
      </c>
      <c r="Z54" s="47">
        <f>Português!Z54</f>
        <v>0</v>
      </c>
      <c r="AA54" s="47">
        <f>Português!AA54</f>
        <v>0</v>
      </c>
      <c r="AB54" s="47">
        <f>Português!AB54</f>
        <v>0</v>
      </c>
      <c r="AC54" s="47">
        <f>Português!AC54</f>
        <v>0</v>
      </c>
      <c r="AD54" s="47">
        <f>Português!AD54</f>
        <v>0</v>
      </c>
      <c r="AE54" s="47">
        <f>Português!AE54</f>
        <v>651.06689999999992</v>
      </c>
      <c r="AF54" s="47">
        <f>Português!AF54</f>
        <v>2823.6581999999999</v>
      </c>
      <c r="AG54" s="47"/>
      <c r="AH54" s="47"/>
      <c r="AI54" s="47"/>
      <c r="AJ54" s="47"/>
      <c r="AK54" s="47"/>
      <c r="AL54" s="47">
        <v>0</v>
      </c>
      <c r="AM54" s="47">
        <v>0</v>
      </c>
    </row>
    <row r="55" spans="1:39">
      <c r="B55" s="24" t="s">
        <v>365</v>
      </c>
      <c r="D55" s="47"/>
      <c r="E55" s="47"/>
      <c r="F55" s="47"/>
      <c r="G55" s="47"/>
      <c r="H55" s="47"/>
      <c r="I55" s="47">
        <f>Português!I55</f>
        <v>0</v>
      </c>
      <c r="J55" s="47">
        <v>497814.23999999993</v>
      </c>
      <c r="K55" s="47"/>
      <c r="L55" s="47">
        <v>0</v>
      </c>
      <c r="M55" s="48"/>
      <c r="N55" s="47"/>
      <c r="O55" s="47"/>
      <c r="P55" s="47"/>
      <c r="Q55" s="47"/>
      <c r="R55" s="47"/>
      <c r="S55" s="47"/>
      <c r="T55" s="47"/>
      <c r="U55" s="47"/>
      <c r="V55" s="47">
        <f>Português!V55</f>
        <v>0</v>
      </c>
      <c r="W55" s="47">
        <f>Português!W55</f>
        <v>0</v>
      </c>
      <c r="X55" s="47">
        <f>Português!X55</f>
        <v>0</v>
      </c>
      <c r="Y55" s="47">
        <f>Português!Y55</f>
        <v>0</v>
      </c>
      <c r="Z55" s="47">
        <f>Português!Z55</f>
        <v>0</v>
      </c>
      <c r="AA55" s="47">
        <f>Português!AA55</f>
        <v>0</v>
      </c>
      <c r="AB55" s="47">
        <f>Português!AB55</f>
        <v>0</v>
      </c>
      <c r="AC55" s="47">
        <f>Português!AC55</f>
        <v>0</v>
      </c>
      <c r="AD55" s="47">
        <f>Português!AD55</f>
        <v>0</v>
      </c>
      <c r="AE55" s="47">
        <f>Português!AE55</f>
        <v>491133.71999999991</v>
      </c>
      <c r="AF55" s="47">
        <f>Português!AF55</f>
        <v>6680.5199999999713</v>
      </c>
      <c r="AG55" s="47"/>
      <c r="AH55" s="47"/>
      <c r="AI55" s="47"/>
      <c r="AJ55" s="47"/>
      <c r="AK55" s="47"/>
      <c r="AL55" s="47">
        <v>0</v>
      </c>
      <c r="AM55" s="47">
        <v>0</v>
      </c>
    </row>
    <row r="56" spans="1:39">
      <c r="B56" s="24" t="s">
        <v>378</v>
      </c>
      <c r="D56" s="47"/>
      <c r="E56" s="47"/>
      <c r="F56" s="47"/>
      <c r="G56" s="47"/>
      <c r="H56" s="47">
        <f>Português!H56</f>
        <v>0</v>
      </c>
      <c r="I56" s="47">
        <f>Português!I56</f>
        <v>0</v>
      </c>
      <c r="J56" s="47">
        <f>0.66*J76</f>
        <v>-48823.5</v>
      </c>
      <c r="K56" s="47"/>
      <c r="L56" s="47">
        <v>0</v>
      </c>
      <c r="M56" s="48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>
        <f>Português!Z56</f>
        <v>0</v>
      </c>
      <c r="AA56" s="47">
        <f>Português!AA56</f>
        <v>0</v>
      </c>
      <c r="AB56" s="47">
        <f>Português!AB56</f>
        <v>0</v>
      </c>
      <c r="AC56" s="47">
        <f>Português!AC56</f>
        <v>0</v>
      </c>
      <c r="AD56" s="47">
        <f>Português!AD56</f>
        <v>0</v>
      </c>
      <c r="AE56" s="47">
        <f>Português!AE56</f>
        <v>0</v>
      </c>
      <c r="AF56" s="47">
        <f>Português!AF56</f>
        <v>-48823.5</v>
      </c>
      <c r="AG56" s="47"/>
      <c r="AH56" s="47"/>
      <c r="AI56" s="47"/>
      <c r="AJ56" s="47"/>
      <c r="AK56" s="47"/>
      <c r="AL56" s="47">
        <v>0</v>
      </c>
      <c r="AM56" s="47">
        <v>0</v>
      </c>
    </row>
    <row r="57" spans="1:39">
      <c r="B57" s="24" t="s">
        <v>410</v>
      </c>
      <c r="D57" s="47"/>
      <c r="E57" s="47"/>
      <c r="F57" s="47"/>
      <c r="G57" s="47"/>
      <c r="H57" s="47"/>
      <c r="I57" s="47"/>
      <c r="J57" s="47"/>
      <c r="K57" s="47"/>
      <c r="L57" s="47">
        <v>3702.9206742000006</v>
      </c>
      <c r="M57" s="48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>
        <v>3702.9206742000006</v>
      </c>
      <c r="AM57" s="47">
        <v>0</v>
      </c>
    </row>
    <row r="58" spans="1:39" customFormat="1">
      <c r="A58" s="65" t="s">
        <v>272</v>
      </c>
      <c r="B58" s="18" t="s">
        <v>273</v>
      </c>
      <c r="C58" s="1"/>
      <c r="D58" s="51">
        <f>D44+SUM(D51:D53)</f>
        <v>124434.65302999999</v>
      </c>
      <c r="E58" s="51">
        <f t="shared" ref="E58:G58" si="154">E44+SUM(E51:E53)</f>
        <v>138103.99999999994</v>
      </c>
      <c r="F58" s="51">
        <f t="shared" si="154"/>
        <v>72643</v>
      </c>
      <c r="G58" s="51">
        <f t="shared" si="154"/>
        <v>160167.9</v>
      </c>
      <c r="H58" s="51">
        <f t="shared" ref="H58:I58" si="155">H44+SUM(H51:H53)</f>
        <v>208512.06933999999</v>
      </c>
      <c r="I58" s="51">
        <f t="shared" si="155"/>
        <v>212971</v>
      </c>
      <c r="J58" s="51">
        <f>J44+J51+J54+J55+J56</f>
        <v>196161.94689999992</v>
      </c>
      <c r="K58" s="51">
        <v>111916</v>
      </c>
      <c r="L58" s="51">
        <v>36268.920674200002</v>
      </c>
      <c r="M58" s="48"/>
      <c r="N58" s="51">
        <f t="shared" ref="N58" si="156">N44+SUM(N51:N53)</f>
        <v>15397</v>
      </c>
      <c r="O58" s="51">
        <f t="shared" ref="O58" si="157">O44+SUM(O51:O53)</f>
        <v>6475.75</v>
      </c>
      <c r="P58" s="51">
        <f t="shared" ref="P58" si="158">P44+SUM(P51:P53)</f>
        <v>36654.999999999993</v>
      </c>
      <c r="Q58" s="51">
        <f t="shared" ref="Q58" si="159">Q44+SUM(Q51:Q53)</f>
        <v>14115.250000000007</v>
      </c>
      <c r="R58" s="51">
        <f t="shared" ref="R58" si="160">R44+SUM(R51:R53)</f>
        <v>26454</v>
      </c>
      <c r="S58" s="51">
        <f t="shared" ref="S58" si="161">S44+SUM(S51:S53)</f>
        <v>53293.96</v>
      </c>
      <c r="T58" s="51">
        <f t="shared" ref="T58" si="162">T44+SUM(T51:T53)</f>
        <v>44092.7</v>
      </c>
      <c r="U58" s="51">
        <f t="shared" ref="U58" si="163">U44+SUM(U51:U53)</f>
        <v>36327.240000000005</v>
      </c>
      <c r="V58" s="51">
        <f t="shared" ref="V58" si="164">V44+SUM(V51:V53)</f>
        <v>52869.854388400003</v>
      </c>
      <c r="W58" s="51">
        <f t="shared" ref="W58:X58" si="165">W44+SUM(W51:W53)</f>
        <v>61399.023563199968</v>
      </c>
      <c r="X58" s="51">
        <f t="shared" si="165"/>
        <v>58576.594388399943</v>
      </c>
      <c r="Y58" s="51">
        <f t="shared" ref="Y58:Z58" si="166">Y44+SUM(Y51:Y53)</f>
        <v>35666.596999999936</v>
      </c>
      <c r="Z58" s="51">
        <f t="shared" si="166"/>
        <v>50513</v>
      </c>
      <c r="AA58" s="51">
        <f t="shared" ref="AA58:AB58" si="167">AA44+SUM(AA51:AA53)</f>
        <v>62875</v>
      </c>
      <c r="AB58" s="51">
        <f t="shared" si="167"/>
        <v>53162</v>
      </c>
      <c r="AC58" s="51">
        <f t="shared" ref="AC58" si="168">AC44+SUM(AC51:AC53)</f>
        <v>46421</v>
      </c>
      <c r="AD58" s="51">
        <f>AD44+SUM(AD51:AD56)</f>
        <v>63913</v>
      </c>
      <c r="AE58" s="51">
        <f>AE44+SUM(AE51:AE56)</f>
        <v>51407.78689999989</v>
      </c>
      <c r="AF58" s="51">
        <f>AF44+SUM(AF51:AF56)</f>
        <v>56211.678199999966</v>
      </c>
      <c r="AG58" s="51">
        <v>24629</v>
      </c>
      <c r="AH58" s="51">
        <v>20173</v>
      </c>
      <c r="AI58" s="51">
        <v>27090.664574594717</v>
      </c>
      <c r="AJ58" s="51">
        <v>27482.335425405268</v>
      </c>
      <c r="AK58" s="51">
        <v>37170</v>
      </c>
      <c r="AL58" s="51">
        <v>36268.920674200002</v>
      </c>
      <c r="AM58" s="51">
        <v>44987</v>
      </c>
    </row>
    <row r="59" spans="1:39" s="3" customFormat="1">
      <c r="B59" s="20" t="s">
        <v>293</v>
      </c>
      <c r="C59" s="1"/>
      <c r="D59" s="10">
        <f>D58/$D$22</f>
        <v>0.19860100777903331</v>
      </c>
      <c r="E59" s="10">
        <f t="shared" ref="E59:I59" si="169">E58/E22</f>
        <v>0.18850211359209643</v>
      </c>
      <c r="F59" s="10">
        <f t="shared" si="169"/>
        <v>0.10119368512845801</v>
      </c>
      <c r="G59" s="10">
        <f t="shared" si="169"/>
        <v>0.15636616932519648</v>
      </c>
      <c r="H59" s="10">
        <f t="shared" si="169"/>
        <v>0.11826231350800734</v>
      </c>
      <c r="I59" s="10">
        <f t="shared" si="169"/>
        <v>9.7350828394658237E-2</v>
      </c>
      <c r="J59" s="10">
        <f>J58/J22</f>
        <v>8.8123027303222204E-2</v>
      </c>
      <c r="K59" s="10">
        <v>5.1448890605139096E-2</v>
      </c>
      <c r="L59" s="10">
        <v>6.3080991436244044E-2</v>
      </c>
      <c r="M59"/>
      <c r="N59" s="10">
        <f t="shared" ref="N59:W59" si="170">N58/N22</f>
        <v>9.0442372871399959E-2</v>
      </c>
      <c r="O59" s="10">
        <f t="shared" si="170"/>
        <v>4.4978060541445347E-2</v>
      </c>
      <c r="P59" s="10">
        <f t="shared" si="170"/>
        <v>0.18762988974088593</v>
      </c>
      <c r="Q59" s="10">
        <f t="shared" si="170"/>
        <v>6.7768515684544742E-2</v>
      </c>
      <c r="R59" s="10">
        <f t="shared" si="170"/>
        <v>0.11666078673487387</v>
      </c>
      <c r="S59" s="10">
        <f t="shared" si="170"/>
        <v>0.19817037890900976</v>
      </c>
      <c r="T59" s="10">
        <f t="shared" si="170"/>
        <v>0.18341236761757387</v>
      </c>
      <c r="U59" s="10">
        <f t="shared" si="170"/>
        <v>0.1260395321645543</v>
      </c>
      <c r="V59" s="10">
        <f t="shared" si="170"/>
        <v>0.15426229736320746</v>
      </c>
      <c r="W59" s="10">
        <f t="shared" si="170"/>
        <v>0.14133979968952406</v>
      </c>
      <c r="X59" s="10">
        <f t="shared" ref="X59:Y59" si="171">X58/X22</f>
        <v>0.12360956349739588</v>
      </c>
      <c r="Y59" s="10">
        <f t="shared" si="171"/>
        <v>6.9645839436447074E-2</v>
      </c>
      <c r="Z59" s="10">
        <f t="shared" ref="Z59:AA59" si="172">Z58/Z22</f>
        <v>9.6388002114265764E-2</v>
      </c>
      <c r="AA59" s="10">
        <f t="shared" si="172"/>
        <v>0.11346103526991545</v>
      </c>
      <c r="AB59" s="10">
        <f t="shared" ref="AB59:AC59" si="173">AB58/AB22</f>
        <v>9.3557680293263085E-2</v>
      </c>
      <c r="AC59" s="10">
        <f t="shared" si="173"/>
        <v>8.5770401903832796E-2</v>
      </c>
      <c r="AD59" s="10">
        <f t="shared" ref="AD59:AE59" si="174">AD58/AD22</f>
        <v>0.10966559654357677</v>
      </c>
      <c r="AE59" s="10">
        <f t="shared" si="174"/>
        <v>8.7825064791071036E-2</v>
      </c>
      <c r="AF59" s="10">
        <f t="shared" ref="AF59" si="175">AF58/AF22</f>
        <v>9.8475140543182474E-2</v>
      </c>
      <c r="AG59" s="10">
        <v>5.0568949445423152E-2</v>
      </c>
      <c r="AH59" s="10">
        <v>4.0401107110098172E-2</v>
      </c>
      <c r="AI59" s="10">
        <v>4.96341464557888E-2</v>
      </c>
      <c r="AJ59" s="10">
        <v>4.8396577704255241E-2</v>
      </c>
      <c r="AK59" s="10">
        <v>6.6103150792366394E-2</v>
      </c>
      <c r="AL59" s="10">
        <v>6.3080991436244044E-2</v>
      </c>
      <c r="AM59" s="10">
        <v>7.3312550009533392E-2</v>
      </c>
    </row>
    <row r="60" spans="1:39">
      <c r="B60" s="22" t="s">
        <v>283</v>
      </c>
      <c r="D60" s="47">
        <f>Português!D60</f>
        <v>0</v>
      </c>
      <c r="E60" s="47">
        <f>Português!E60</f>
        <v>0</v>
      </c>
      <c r="F60" s="47">
        <f>Português!F60</f>
        <v>0</v>
      </c>
      <c r="G60" s="47">
        <f>Português!G60</f>
        <v>5650.9199999999992</v>
      </c>
      <c r="H60" s="47">
        <f>Português!H60</f>
        <v>5777.6465999999991</v>
      </c>
      <c r="I60" s="47">
        <f>Português!I60</f>
        <v>7724.6399999999994</v>
      </c>
      <c r="J60" s="47">
        <v>5493.1799999999994</v>
      </c>
      <c r="K60" s="47"/>
      <c r="L60" s="47"/>
      <c r="M60" s="48"/>
      <c r="N60" s="47">
        <f>Português!N60</f>
        <v>0</v>
      </c>
      <c r="O60" s="47">
        <f>Português!O60</f>
        <v>0</v>
      </c>
      <c r="P60" s="47">
        <f>Português!P60</f>
        <v>0</v>
      </c>
      <c r="Q60" s="47">
        <f>Português!Q60</f>
        <v>0</v>
      </c>
      <c r="R60" s="47">
        <f>Português!R60</f>
        <v>0</v>
      </c>
      <c r="S60" s="47">
        <f>Português!S60</f>
        <v>1845.3599999999997</v>
      </c>
      <c r="T60" s="47">
        <f>Português!T60</f>
        <v>1858.5599999999997</v>
      </c>
      <c r="U60" s="47">
        <f>Português!U60</f>
        <v>1946.9999999999998</v>
      </c>
      <c r="V60" s="47">
        <f>Português!V60</f>
        <v>1904.7599999999998</v>
      </c>
      <c r="W60" s="47">
        <f>Português!W60</f>
        <v>1925.8865999999998</v>
      </c>
      <c r="X60" s="47">
        <f>Português!X60</f>
        <v>1946.9999999999998</v>
      </c>
      <c r="Y60" s="47">
        <f>Português!Y60</f>
        <v>1946.9933999999996</v>
      </c>
      <c r="Z60" s="47">
        <f>Português!Z60</f>
        <v>1904.7599999999998</v>
      </c>
      <c r="AA60" s="47">
        <f>Português!AA60</f>
        <v>1925.8799999999997</v>
      </c>
      <c r="AB60" s="47">
        <f>Português!AB60</f>
        <v>1946.9999999999998</v>
      </c>
      <c r="AC60" s="47">
        <f>Português!AC60</f>
        <v>1946.9999999999998</v>
      </c>
      <c r="AD60" s="47">
        <f>Português!AD60</f>
        <v>1925.8799999999997</v>
      </c>
      <c r="AE60" s="47">
        <f>Português!AE60</f>
        <v>1230.8999999999999</v>
      </c>
      <c r="AF60" s="47">
        <f>Português!AF60</f>
        <v>1167.54</v>
      </c>
      <c r="AG60" s="47">
        <v>1168.8599999999999</v>
      </c>
      <c r="AH60" s="47"/>
      <c r="AI60" s="47"/>
      <c r="AJ60" s="47"/>
      <c r="AK60" s="47"/>
      <c r="AL60" s="47"/>
      <c r="AM60" s="47"/>
    </row>
    <row r="61" spans="1:39" customFormat="1">
      <c r="A61" s="65" t="s">
        <v>272</v>
      </c>
      <c r="B61" s="18" t="s">
        <v>314</v>
      </c>
      <c r="C61" s="1"/>
      <c r="D61" s="51">
        <f>D58</f>
        <v>124434.65302999999</v>
      </c>
      <c r="E61" s="51">
        <f t="shared" ref="E61:F61" si="176">E58</f>
        <v>138103.99999999994</v>
      </c>
      <c r="F61" s="51">
        <f t="shared" si="176"/>
        <v>72643</v>
      </c>
      <c r="G61" s="51">
        <f>G58+G60</f>
        <v>165818.82</v>
      </c>
      <c r="H61" s="51">
        <f>H58+H60</f>
        <v>214289.71593999999</v>
      </c>
      <c r="I61" s="51">
        <f>I58+I60</f>
        <v>220695.64</v>
      </c>
      <c r="J61" s="51">
        <v>250478.62689999997</v>
      </c>
      <c r="K61" s="51">
        <v>111916</v>
      </c>
      <c r="L61" s="51">
        <v>36268.920674200002</v>
      </c>
      <c r="M61" s="48"/>
    </row>
    <row r="62" spans="1:39" s="3" customFormat="1">
      <c r="B62" s="20" t="s">
        <v>293</v>
      </c>
      <c r="C62" s="1"/>
      <c r="D62" s="10">
        <f>D61/D22</f>
        <v>0.19860100777903331</v>
      </c>
      <c r="E62" s="10">
        <f t="shared" ref="E62:G62" si="177">E61/E22</f>
        <v>0.18850211359209643</v>
      </c>
      <c r="F62" s="10">
        <f t="shared" si="177"/>
        <v>0.10119368512845801</v>
      </c>
      <c r="G62" s="10">
        <f t="shared" si="177"/>
        <v>0.16188295960316818</v>
      </c>
      <c r="H62" s="10">
        <f t="shared" ref="H62:I62" si="178">H61/H22</f>
        <v>0.12153923582579183</v>
      </c>
      <c r="I62" s="10">
        <f t="shared" si="178"/>
        <v>0.10088182605654888</v>
      </c>
      <c r="J62" s="10">
        <v>0.11252404060016144</v>
      </c>
      <c r="K62" s="10">
        <v>5.1448890605139096E-2</v>
      </c>
      <c r="L62" s="10">
        <v>6.3080991436244044E-2</v>
      </c>
      <c r="M62"/>
      <c r="N62"/>
      <c r="O62"/>
      <c r="P62"/>
      <c r="Q62"/>
      <c r="R62"/>
      <c r="S62"/>
      <c r="T62"/>
      <c r="U62"/>
      <c r="V62"/>
      <c r="W62"/>
      <c r="X62"/>
      <c r="AG62"/>
      <c r="AH62"/>
      <c r="AI62"/>
      <c r="AJ62"/>
      <c r="AK62"/>
      <c r="AL62"/>
      <c r="AM62"/>
    </row>
    <row r="63" spans="1:39" s="3" customFormat="1">
      <c r="B63" s="70" t="s">
        <v>286</v>
      </c>
      <c r="C63" s="1"/>
      <c r="D63" s="71"/>
      <c r="E63" s="71"/>
      <c r="F63" s="71"/>
      <c r="G63" s="71"/>
      <c r="H63" s="71"/>
      <c r="I63" s="71"/>
      <c r="J63" s="71"/>
      <c r="K63" s="45"/>
      <c r="L63" s="45"/>
      <c r="M63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AG63" s="45"/>
      <c r="AH63" s="45"/>
      <c r="AI63" s="45"/>
      <c r="AJ63" s="45"/>
      <c r="AK63" s="45"/>
      <c r="AL63" s="45"/>
      <c r="AM63" s="45"/>
    </row>
    <row r="64" spans="1:39">
      <c r="B64" s="69"/>
      <c r="K64" s="88"/>
      <c r="L64" s="45"/>
      <c r="N64" s="1"/>
      <c r="O64" s="1"/>
      <c r="AG64" s="45"/>
      <c r="AH64" s="45"/>
      <c r="AI64" s="45"/>
      <c r="AJ64" s="45"/>
      <c r="AK64" s="45"/>
      <c r="AL64" s="45"/>
      <c r="AM64" s="45"/>
    </row>
    <row r="65" spans="2:39" ht="15.75" thickBot="1">
      <c r="B65" s="67" t="s">
        <v>116</v>
      </c>
      <c r="D65" s="63">
        <f>D16</f>
        <v>2018</v>
      </c>
      <c r="E65" s="63">
        <f>E16</f>
        <v>2019</v>
      </c>
      <c r="F65" s="63">
        <f>F16</f>
        <v>2020</v>
      </c>
      <c r="G65" s="63">
        <f>G16</f>
        <v>2021</v>
      </c>
      <c r="H65" s="63">
        <v>2022</v>
      </c>
      <c r="I65" s="63">
        <v>2023</v>
      </c>
      <c r="J65" s="63">
        <v>2024</v>
      </c>
      <c r="K65" s="68">
        <v>2025</v>
      </c>
      <c r="L65" s="63" t="s">
        <v>408</v>
      </c>
      <c r="N65" s="63" t="str">
        <f t="shared" ref="N65:W65" si="179">N16</f>
        <v>1Q20</v>
      </c>
      <c r="O65" s="63" t="str">
        <f t="shared" si="179"/>
        <v>2Q20</v>
      </c>
      <c r="P65" s="63" t="str">
        <f t="shared" si="179"/>
        <v>3Q20</v>
      </c>
      <c r="Q65" s="63" t="str">
        <f t="shared" si="179"/>
        <v>4Q20</v>
      </c>
      <c r="R65" s="63" t="str">
        <f t="shared" si="179"/>
        <v>1Q21</v>
      </c>
      <c r="S65" s="63" t="str">
        <f t="shared" si="179"/>
        <v>2Q21</v>
      </c>
      <c r="T65" s="63" t="str">
        <f t="shared" si="179"/>
        <v>3Q21</v>
      </c>
      <c r="U65" s="63" t="str">
        <f t="shared" si="179"/>
        <v>4Q21</v>
      </c>
      <c r="V65" s="63" t="str">
        <f t="shared" si="179"/>
        <v>1Q22</v>
      </c>
      <c r="W65" s="63" t="str">
        <f t="shared" si="179"/>
        <v>2Q22</v>
      </c>
      <c r="X65" s="63" t="s">
        <v>319</v>
      </c>
      <c r="Y65" s="63" t="s">
        <v>332</v>
      </c>
      <c r="Z65" s="63" t="s">
        <v>338</v>
      </c>
      <c r="AA65" s="63" t="s">
        <v>341</v>
      </c>
      <c r="AB65" s="63" t="s">
        <v>344</v>
      </c>
      <c r="AC65" s="63" t="s">
        <v>351</v>
      </c>
      <c r="AD65" s="63" t="s">
        <v>354</v>
      </c>
      <c r="AE65" s="63" t="s">
        <v>366</v>
      </c>
      <c r="AF65" s="63" t="s">
        <v>375</v>
      </c>
      <c r="AG65" s="63" t="s">
        <v>387</v>
      </c>
      <c r="AH65" s="63" t="s">
        <v>393</v>
      </c>
      <c r="AI65" s="63" t="s">
        <v>398</v>
      </c>
      <c r="AJ65" s="63" t="s">
        <v>400</v>
      </c>
      <c r="AK65" s="63" t="s">
        <v>405</v>
      </c>
      <c r="AL65" s="63" t="s">
        <v>408</v>
      </c>
      <c r="AM65" s="63" t="s">
        <v>416</v>
      </c>
    </row>
    <row r="66" spans="2:39" ht="15.75" thickTop="1">
      <c r="B66" s="21" t="s">
        <v>115</v>
      </c>
      <c r="D66" s="53">
        <f t="shared" ref="D66:I66" si="180">D44</f>
        <v>124434.65302999999</v>
      </c>
      <c r="E66" s="53">
        <f t="shared" si="180"/>
        <v>138103.99999999994</v>
      </c>
      <c r="F66" s="53">
        <f t="shared" si="180"/>
        <v>72643</v>
      </c>
      <c r="G66" s="53">
        <f t="shared" si="180"/>
        <v>146845.79999999999</v>
      </c>
      <c r="H66" s="53">
        <f t="shared" si="180"/>
        <v>122687</v>
      </c>
      <c r="I66" s="53">
        <f t="shared" si="180"/>
        <v>141247</v>
      </c>
      <c r="J66" s="53">
        <v>-323904</v>
      </c>
      <c r="K66" s="53">
        <v>111916</v>
      </c>
      <c r="L66" s="53">
        <v>32566</v>
      </c>
      <c r="M66" s="48"/>
      <c r="N66" s="53">
        <f t="shared" ref="N66:W66" si="181">N44</f>
        <v>15397</v>
      </c>
      <c r="O66" s="53">
        <f t="shared" si="181"/>
        <v>6475.75</v>
      </c>
      <c r="P66" s="53">
        <f t="shared" si="181"/>
        <v>36654.999999999993</v>
      </c>
      <c r="Q66" s="53">
        <f t="shared" si="181"/>
        <v>14115.250000000007</v>
      </c>
      <c r="R66" s="53">
        <f t="shared" si="181"/>
        <v>26454</v>
      </c>
      <c r="S66" s="53">
        <f t="shared" si="181"/>
        <v>53224</v>
      </c>
      <c r="T66" s="53">
        <f t="shared" si="181"/>
        <v>43634</v>
      </c>
      <c r="U66" s="53">
        <f t="shared" si="181"/>
        <v>23533.800000000003</v>
      </c>
      <c r="V66" s="53">
        <f t="shared" si="181"/>
        <v>30960.800000000003</v>
      </c>
      <c r="W66" s="53">
        <f t="shared" si="181"/>
        <v>34774.102999999966</v>
      </c>
      <c r="X66" s="53">
        <f t="shared" ref="X66:Y66" si="182">X44</f>
        <v>39261.999999999942</v>
      </c>
      <c r="Y66" s="53">
        <f t="shared" si="182"/>
        <v>17690.096999999936</v>
      </c>
      <c r="Z66" s="53">
        <f t="shared" ref="Z66:AA66" si="183">Z44</f>
        <v>32582</v>
      </c>
      <c r="AA66" s="53">
        <f t="shared" si="183"/>
        <v>44944</v>
      </c>
      <c r="AB66" s="53">
        <f t="shared" ref="AB66:AC66" si="184">AB44</f>
        <v>35231</v>
      </c>
      <c r="AC66" s="53">
        <f t="shared" si="184"/>
        <v>28490</v>
      </c>
      <c r="AD66" s="53">
        <f t="shared" ref="AD66:AE66" si="185">AD44</f>
        <v>45959</v>
      </c>
      <c r="AE66" s="53">
        <f t="shared" si="185"/>
        <v>-458539</v>
      </c>
      <c r="AF66" s="53">
        <f t="shared" ref="AF66" si="186">AF44</f>
        <v>80531</v>
      </c>
      <c r="AG66" s="53">
        <v>8145</v>
      </c>
      <c r="AH66" s="53">
        <v>20173</v>
      </c>
      <c r="AI66" s="53">
        <v>27090.664574594717</v>
      </c>
      <c r="AJ66" s="53">
        <v>27482.335425405268</v>
      </c>
      <c r="AK66" s="53">
        <v>37170</v>
      </c>
      <c r="AL66" s="53">
        <v>32566</v>
      </c>
      <c r="AM66" s="53">
        <v>44987</v>
      </c>
    </row>
    <row r="67" spans="2:39">
      <c r="B67" s="22" t="s">
        <v>114</v>
      </c>
      <c r="D67" s="46">
        <f t="shared" ref="D67:I67" si="187">-D43</f>
        <v>65972</v>
      </c>
      <c r="E67" s="46">
        <f t="shared" si="187"/>
        <v>72994</v>
      </c>
      <c r="F67" s="46">
        <f t="shared" si="187"/>
        <v>30119</v>
      </c>
      <c r="G67" s="46">
        <f t="shared" si="187"/>
        <v>73634</v>
      </c>
      <c r="H67" s="46">
        <f t="shared" si="187"/>
        <v>63147</v>
      </c>
      <c r="I67" s="46">
        <f t="shared" si="187"/>
        <v>67546</v>
      </c>
      <c r="J67" s="46">
        <v>-174706</v>
      </c>
      <c r="K67" s="46">
        <v>55169</v>
      </c>
      <c r="L67" s="46">
        <v>18528</v>
      </c>
      <c r="M67" s="46"/>
      <c r="N67" s="46">
        <f t="shared" ref="N67:W67" si="188">-N43</f>
        <v>7659</v>
      </c>
      <c r="O67" s="46">
        <f t="shared" si="188"/>
        <v>3335</v>
      </c>
      <c r="P67" s="46">
        <f t="shared" si="188"/>
        <v>18341</v>
      </c>
      <c r="Q67" s="46">
        <f t="shared" si="188"/>
        <v>784</v>
      </c>
      <c r="R67" s="46">
        <f t="shared" si="188"/>
        <v>13123</v>
      </c>
      <c r="S67" s="46">
        <f t="shared" si="188"/>
        <v>26998</v>
      </c>
      <c r="T67" s="46">
        <f t="shared" si="188"/>
        <v>21972</v>
      </c>
      <c r="U67" s="46">
        <f t="shared" si="188"/>
        <v>11541</v>
      </c>
      <c r="V67" s="46">
        <f t="shared" si="188"/>
        <v>14594</v>
      </c>
      <c r="W67" s="46">
        <f t="shared" si="188"/>
        <v>13964.588000000003</v>
      </c>
      <c r="X67" s="46">
        <f t="shared" ref="X67:Y67" si="189">-X43</f>
        <v>15365</v>
      </c>
      <c r="Y67" s="46">
        <f t="shared" si="189"/>
        <v>19223.411999999997</v>
      </c>
      <c r="Z67" s="46">
        <f t="shared" ref="Z67:AA67" si="190">-Z43</f>
        <v>16294</v>
      </c>
      <c r="AA67" s="46">
        <f t="shared" si="190"/>
        <v>20487</v>
      </c>
      <c r="AB67" s="46">
        <f t="shared" ref="AB67:AC67" si="191">-AB43</f>
        <v>17649</v>
      </c>
      <c r="AC67" s="46">
        <f t="shared" si="191"/>
        <v>13116</v>
      </c>
      <c r="AD67" s="46">
        <f t="shared" ref="AD67:AE67" si="192">-AD43</f>
        <v>16901</v>
      </c>
      <c r="AE67" s="46">
        <f t="shared" si="192"/>
        <v>-240407</v>
      </c>
      <c r="AF67" s="46">
        <f t="shared" ref="AF67" si="193">-AF43</f>
        <v>41290</v>
      </c>
      <c r="AG67" s="46">
        <v>7510</v>
      </c>
      <c r="AH67" s="46">
        <v>10001</v>
      </c>
      <c r="AI67" s="46">
        <v>14486</v>
      </c>
      <c r="AJ67" s="46">
        <v>15119</v>
      </c>
      <c r="AK67" s="46">
        <v>15563</v>
      </c>
      <c r="AL67" s="46">
        <v>18528</v>
      </c>
      <c r="AM67" s="46">
        <v>21650</v>
      </c>
    </row>
    <row r="68" spans="2:39">
      <c r="B68" s="22" t="s">
        <v>120</v>
      </c>
      <c r="D68" s="46">
        <f t="shared" ref="D68:I68" si="194">-D41</f>
        <v>-6011</v>
      </c>
      <c r="E68" s="46">
        <f t="shared" si="194"/>
        <v>-139</v>
      </c>
      <c r="F68" s="46">
        <f t="shared" si="194"/>
        <v>14040</v>
      </c>
      <c r="G68" s="46">
        <f t="shared" si="194"/>
        <v>21788</v>
      </c>
      <c r="H68" s="46">
        <f t="shared" si="194"/>
        <v>152068</v>
      </c>
      <c r="I68" s="46">
        <f t="shared" si="194"/>
        <v>214816</v>
      </c>
      <c r="J68" s="46">
        <v>162763</v>
      </c>
      <c r="K68" s="46">
        <v>186640</v>
      </c>
      <c r="L68" s="46">
        <v>44381</v>
      </c>
      <c r="M68" s="46"/>
      <c r="N68" s="46">
        <f t="shared" ref="N68:W68" si="195">-N41</f>
        <v>4708</v>
      </c>
      <c r="O68" s="46">
        <f t="shared" si="195"/>
        <v>3968</v>
      </c>
      <c r="P68" s="46">
        <f t="shared" si="195"/>
        <v>1033</v>
      </c>
      <c r="Q68" s="46">
        <f t="shared" si="195"/>
        <v>4331</v>
      </c>
      <c r="R68" s="46">
        <f t="shared" si="195"/>
        <v>13693</v>
      </c>
      <c r="S68" s="46">
        <f t="shared" si="195"/>
        <v>3558</v>
      </c>
      <c r="T68" s="46">
        <f t="shared" si="195"/>
        <v>-5697</v>
      </c>
      <c r="U68" s="46">
        <f t="shared" si="195"/>
        <v>10234</v>
      </c>
      <c r="V68" s="46">
        <f t="shared" si="195"/>
        <v>19332</v>
      </c>
      <c r="W68" s="46">
        <f t="shared" si="195"/>
        <v>38336.933500000006</v>
      </c>
      <c r="X68" s="46">
        <f t="shared" ref="X68:Y68" si="196">-X41</f>
        <v>39506</v>
      </c>
      <c r="Y68" s="46">
        <f t="shared" si="196"/>
        <v>54893.066499999986</v>
      </c>
      <c r="Z68" s="46">
        <f t="shared" ref="Z68:AA68" si="197">-Z41</f>
        <v>57341</v>
      </c>
      <c r="AA68" s="46">
        <f t="shared" si="197"/>
        <v>56702</v>
      </c>
      <c r="AB68" s="46">
        <f t="shared" ref="AB68:AC68" si="198">-AB41</f>
        <v>55878</v>
      </c>
      <c r="AC68" s="46">
        <f t="shared" si="198"/>
        <v>44895</v>
      </c>
      <c r="AD68" s="46">
        <f t="shared" ref="AD68:AE68" si="199">-AD41</f>
        <v>49287</v>
      </c>
      <c r="AE68" s="46">
        <f t="shared" si="199"/>
        <v>46627</v>
      </c>
      <c r="AF68" s="46">
        <f t="shared" ref="AF68" si="200">-AF41</f>
        <v>31857</v>
      </c>
      <c r="AG68" s="46">
        <v>34992</v>
      </c>
      <c r="AH68" s="46">
        <v>39140</v>
      </c>
      <c r="AI68" s="46">
        <v>46419</v>
      </c>
      <c r="AJ68" s="46">
        <v>55504</v>
      </c>
      <c r="AK68" s="46">
        <v>45577</v>
      </c>
      <c r="AL68" s="46">
        <v>44381</v>
      </c>
      <c r="AM68" s="46">
        <v>42621</v>
      </c>
    </row>
    <row r="69" spans="2:39">
      <c r="B69" s="22" t="s">
        <v>106</v>
      </c>
      <c r="D69" s="46">
        <f>Português!D69</f>
        <v>36309</v>
      </c>
      <c r="E69" s="46">
        <f>Português!E69</f>
        <v>46887</v>
      </c>
      <c r="F69" s="46">
        <f>Português!F69</f>
        <v>38496</v>
      </c>
      <c r="G69" s="46">
        <f>Português!G69</f>
        <v>40778</v>
      </c>
      <c r="H69" s="46">
        <f>Português!H69</f>
        <v>90072</v>
      </c>
      <c r="I69" s="46">
        <f>Português!I69</f>
        <v>102002</v>
      </c>
      <c r="J69" s="46">
        <v>109041</v>
      </c>
      <c r="K69" s="47">
        <v>111105</v>
      </c>
      <c r="L69" s="47">
        <v>28876</v>
      </c>
      <c r="M69" s="46"/>
      <c r="N69" s="46">
        <f>Português!N69</f>
        <v>9191</v>
      </c>
      <c r="O69" s="46">
        <f>Português!O69</f>
        <v>9873</v>
      </c>
      <c r="P69" s="46">
        <f>Português!P69</f>
        <v>9847</v>
      </c>
      <c r="Q69" s="46">
        <f>Português!Q69</f>
        <v>9585</v>
      </c>
      <c r="R69" s="46">
        <f>Português!R69</f>
        <v>8818</v>
      </c>
      <c r="S69" s="46">
        <f>Português!S69</f>
        <v>9144</v>
      </c>
      <c r="T69" s="46">
        <f>Português!T69</f>
        <v>9229</v>
      </c>
      <c r="U69" s="46">
        <f>Português!U69</f>
        <v>13587</v>
      </c>
      <c r="V69" s="46">
        <f>Português!V69</f>
        <v>16175.93462</v>
      </c>
      <c r="W69" s="46">
        <f>Português!W69</f>
        <v>20223.125155460781</v>
      </c>
      <c r="X69" s="46">
        <f>Português!X69</f>
        <v>23648</v>
      </c>
      <c r="Y69" s="46">
        <f>Português!Y69</f>
        <v>30024.940224539219</v>
      </c>
      <c r="Z69" s="46">
        <f>Português!Z69</f>
        <v>25651</v>
      </c>
      <c r="AA69" s="46">
        <f>Português!AA69</f>
        <v>24854</v>
      </c>
      <c r="AB69" s="46">
        <f>Português!AB69</f>
        <v>25496</v>
      </c>
      <c r="AC69" s="46">
        <f>Português!AC69</f>
        <v>26001</v>
      </c>
      <c r="AD69" s="46">
        <f>Português!AD69</f>
        <v>27394</v>
      </c>
      <c r="AE69" s="46">
        <f>Português!AE69</f>
        <v>27515</v>
      </c>
      <c r="AF69" s="46">
        <f>Português!AF69</f>
        <v>27244</v>
      </c>
      <c r="AG69" s="47">
        <v>26888</v>
      </c>
      <c r="AH69" s="47">
        <v>27266</v>
      </c>
      <c r="AI69" s="47">
        <v>27198.33542540529</v>
      </c>
      <c r="AJ69" s="47">
        <v>27755.66457459471</v>
      </c>
      <c r="AK69" s="47">
        <v>28885</v>
      </c>
      <c r="AL69" s="47">
        <v>28876</v>
      </c>
      <c r="AM69" s="47">
        <v>29336</v>
      </c>
    </row>
    <row r="70" spans="2:39">
      <c r="B70" s="23" t="s">
        <v>0</v>
      </c>
      <c r="D70" s="54">
        <f t="shared" ref="D70:I70" si="201">SUM(D66:D69)</f>
        <v>220704.65302999999</v>
      </c>
      <c r="E70" s="54">
        <f t="shared" si="201"/>
        <v>257845.99999999994</v>
      </c>
      <c r="F70" s="54">
        <f t="shared" si="201"/>
        <v>155298</v>
      </c>
      <c r="G70" s="54">
        <f t="shared" si="201"/>
        <v>283045.8</v>
      </c>
      <c r="H70" s="54">
        <f t="shared" si="201"/>
        <v>427974</v>
      </c>
      <c r="I70" s="54">
        <f t="shared" si="201"/>
        <v>525611</v>
      </c>
      <c r="J70" s="54">
        <v>-226806</v>
      </c>
      <c r="K70" s="54">
        <v>464830</v>
      </c>
      <c r="L70" s="54">
        <v>124351</v>
      </c>
      <c r="M70" s="48"/>
      <c r="N70" s="54">
        <f t="shared" ref="N70:T70" si="202">SUM(N66:N69)</f>
        <v>36955</v>
      </c>
      <c r="O70" s="54">
        <f t="shared" si="202"/>
        <v>23651.75</v>
      </c>
      <c r="P70" s="54">
        <f t="shared" si="202"/>
        <v>65876</v>
      </c>
      <c r="Q70" s="54">
        <f t="shared" ref="Q70" si="203">SUM(Q66:Q69)</f>
        <v>28815.250000000007</v>
      </c>
      <c r="R70" s="54">
        <f t="shared" si="202"/>
        <v>62088</v>
      </c>
      <c r="S70" s="54">
        <f t="shared" si="202"/>
        <v>92924</v>
      </c>
      <c r="T70" s="54">
        <f t="shared" si="202"/>
        <v>69138</v>
      </c>
      <c r="U70" s="54">
        <f t="shared" ref="U70:V70" si="204">SUM(U66:U69)</f>
        <v>58895.8</v>
      </c>
      <c r="V70" s="54">
        <f t="shared" si="204"/>
        <v>81062.734620000003</v>
      </c>
      <c r="W70" s="54">
        <f t="shared" ref="W70" si="205">SUM(W66:W69)</f>
        <v>107298.74965546076</v>
      </c>
      <c r="X70" s="54">
        <f t="shared" ref="X70:Y70" si="206">SUM(X66:X69)</f>
        <v>117780.99999999994</v>
      </c>
      <c r="Y70" s="54">
        <f t="shared" si="206"/>
        <v>121831.51572453915</v>
      </c>
      <c r="Z70" s="54">
        <f t="shared" ref="Z70:AA70" si="207">SUM(Z66:Z69)</f>
        <v>131868</v>
      </c>
      <c r="AA70" s="54">
        <f t="shared" si="207"/>
        <v>146987</v>
      </c>
      <c r="AB70" s="54">
        <f t="shared" ref="AB70:AC70" si="208">SUM(AB66:AB69)</f>
        <v>134254</v>
      </c>
      <c r="AC70" s="54">
        <f t="shared" si="208"/>
        <v>112502</v>
      </c>
      <c r="AD70" s="54">
        <f t="shared" ref="AD70:AE70" si="209">SUM(AD66:AD69)</f>
        <v>139541</v>
      </c>
      <c r="AE70" s="54">
        <f t="shared" si="209"/>
        <v>-624804</v>
      </c>
      <c r="AF70" s="54">
        <f t="shared" ref="AF70" si="210">SUM(AF66:AF69)</f>
        <v>180922</v>
      </c>
      <c r="AG70" s="54">
        <v>77535</v>
      </c>
      <c r="AH70" s="54">
        <v>96580</v>
      </c>
      <c r="AI70" s="54">
        <v>115194</v>
      </c>
      <c r="AJ70" s="54">
        <v>125860.99999999997</v>
      </c>
      <c r="AK70" s="54">
        <v>127195</v>
      </c>
      <c r="AL70" s="54">
        <v>124351</v>
      </c>
      <c r="AM70" s="54">
        <v>138594</v>
      </c>
    </row>
    <row r="71" spans="2:39" s="3" customFormat="1">
      <c r="B71" s="20" t="s">
        <v>117</v>
      </c>
      <c r="C71" s="1"/>
      <c r="D71" s="10">
        <f t="shared" ref="D71:I71" si="211">IFERROR(D70/D22,"")</f>
        <v>0.35225048204789355</v>
      </c>
      <c r="E71" s="10">
        <f t="shared" si="211"/>
        <v>0.3519414063406397</v>
      </c>
      <c r="F71" s="10">
        <f t="shared" si="211"/>
        <v>0.21633435999448361</v>
      </c>
      <c r="G71" s="10">
        <f t="shared" si="211"/>
        <v>0.2763274506913414</v>
      </c>
      <c r="H71" s="10">
        <f t="shared" si="211"/>
        <v>0.24273508733322294</v>
      </c>
      <c r="I71" s="10">
        <f t="shared" si="211"/>
        <v>0.24026119172725258</v>
      </c>
      <c r="J71" s="10">
        <v>-0.10188944209818414</v>
      </c>
      <c r="K71" s="10">
        <v>0.21368694217079601</v>
      </c>
      <c r="L71" s="10">
        <v>0.21627840642273</v>
      </c>
      <c r="M71"/>
      <c r="N71" s="10">
        <f t="shared" ref="N71:W71" si="212">IFERROR(N70/N22,"")</f>
        <v>0.21707461774778108</v>
      </c>
      <c r="O71" s="10">
        <f t="shared" si="212"/>
        <v>0.16427592841155542</v>
      </c>
      <c r="P71" s="10">
        <f t="shared" si="212"/>
        <v>0.337206564358767</v>
      </c>
      <c r="Q71" s="10">
        <f t="shared" si="212"/>
        <v>0.13834446584928198</v>
      </c>
      <c r="R71" s="10">
        <f t="shared" si="212"/>
        <v>0.27380490386311518</v>
      </c>
      <c r="S71" s="10">
        <f t="shared" si="212"/>
        <v>0.34553229464916518</v>
      </c>
      <c r="T71" s="10">
        <f t="shared" si="212"/>
        <v>0.28759328125389971</v>
      </c>
      <c r="U71" s="10">
        <f t="shared" si="212"/>
        <v>0.20434250106688964</v>
      </c>
      <c r="V71" s="10">
        <f t="shared" si="212"/>
        <v>0.23652275607115869</v>
      </c>
      <c r="W71" s="10">
        <f t="shared" si="212"/>
        <v>0.24700040657208164</v>
      </c>
      <c r="X71" s="10">
        <f t="shared" ref="X71:Y71" si="213">IFERROR(X70/X22,"")</f>
        <v>0.24854394746393624</v>
      </c>
      <c r="Y71" s="10">
        <f t="shared" si="213"/>
        <v>0.23789929222712905</v>
      </c>
      <c r="Z71" s="10">
        <f t="shared" ref="Z71:AA71" si="214">IFERROR(Z70/Z22,"")</f>
        <v>0.25162815637170621</v>
      </c>
      <c r="AA71" s="10">
        <f t="shared" si="214"/>
        <v>0.26524528335934894</v>
      </c>
      <c r="AB71" s="10">
        <f t="shared" ref="AB71:AC71" si="215">IFERROR(AB70/AB22,"")</f>
        <v>0.23626825194860504</v>
      </c>
      <c r="AC71" s="10">
        <f t="shared" si="215"/>
        <v>0.20786587438842327</v>
      </c>
      <c r="AD71" s="10">
        <f t="shared" ref="AD71:AE71" si="216">IFERROR(AD70/AD22,"")</f>
        <v>0.23943246299324467</v>
      </c>
      <c r="AE71" s="10">
        <f t="shared" si="216"/>
        <v>-1.0674151736674053</v>
      </c>
      <c r="AF71" s="10">
        <f t="shared" ref="AF71" si="217">IFERROR(AF70/AF22,"")</f>
        <v>0.31695049761659083</v>
      </c>
      <c r="AG71" s="10">
        <v>0.1591970236408658</v>
      </c>
      <c r="AH71" s="10">
        <v>0.1934238301042622</v>
      </c>
      <c r="AI71" s="10">
        <v>0.21099999999999999</v>
      </c>
      <c r="AJ71" s="10">
        <v>0.2216420683376272</v>
      </c>
      <c r="AK71" s="10">
        <v>0.22620366599502403</v>
      </c>
      <c r="AL71" s="10">
        <v>0.21627840642273</v>
      </c>
      <c r="AM71" s="10">
        <v>0.22585812692602908</v>
      </c>
    </row>
    <row r="72" spans="2:39">
      <c r="B72" s="22" t="s">
        <v>295</v>
      </c>
      <c r="D72" s="46">
        <f>Português!D72</f>
        <v>0</v>
      </c>
      <c r="E72" s="46">
        <f>Português!E72</f>
        <v>0</v>
      </c>
      <c r="F72" s="46">
        <f>Português!F72</f>
        <v>0</v>
      </c>
      <c r="G72" s="46">
        <f>Português!G72</f>
        <v>16788</v>
      </c>
      <c r="H72" s="46">
        <f>Português!H72</f>
        <v>13978.000000000002</v>
      </c>
      <c r="I72" s="46">
        <f>Português!I72</f>
        <v>0</v>
      </c>
      <c r="J72" s="46">
        <v>0</v>
      </c>
      <c r="K72" s="47">
        <v>0</v>
      </c>
      <c r="L72" s="47">
        <v>0</v>
      </c>
      <c r="M72" s="48"/>
      <c r="N72" s="46">
        <f>Português!N72</f>
        <v>0</v>
      </c>
      <c r="O72" s="46">
        <f>Português!O72</f>
        <v>0</v>
      </c>
      <c r="P72" s="46">
        <f>Português!P72</f>
        <v>0</v>
      </c>
      <c r="Q72" s="46">
        <f>Português!Q72</f>
        <v>0</v>
      </c>
      <c r="R72" s="46">
        <f>Português!R72</f>
        <v>0</v>
      </c>
      <c r="S72" s="46">
        <f>Português!S72</f>
        <v>0</v>
      </c>
      <c r="T72" s="46">
        <f>Português!T72</f>
        <v>0</v>
      </c>
      <c r="U72" s="46">
        <f>Português!U72</f>
        <v>16788</v>
      </c>
      <c r="V72" s="46">
        <f>Português!V72</f>
        <v>2203.4157399999999</v>
      </c>
      <c r="W72" s="46">
        <f>Português!W72</f>
        <v>9747.1685200000011</v>
      </c>
      <c r="X72" s="46">
        <f>Português!X72</f>
        <v>2027.4157399999999</v>
      </c>
      <c r="Y72" s="46">
        <f>Português!Y72</f>
        <v>0</v>
      </c>
      <c r="Z72" s="46">
        <f>Português!Z72</f>
        <v>0</v>
      </c>
      <c r="AA72" s="46">
        <f>Português!AA72</f>
        <v>0</v>
      </c>
      <c r="AB72" s="46">
        <f>Português!AB72</f>
        <v>0</v>
      </c>
      <c r="AC72" s="46">
        <f>Português!AC72</f>
        <v>0</v>
      </c>
      <c r="AD72" s="46">
        <f>Português!AD72</f>
        <v>0</v>
      </c>
      <c r="AE72" s="46">
        <f>Português!AE72</f>
        <v>0</v>
      </c>
      <c r="AF72" s="46">
        <f>Português!AF72</f>
        <v>0</v>
      </c>
      <c r="AG72" s="47">
        <v>0</v>
      </c>
      <c r="AH72" s="47"/>
      <c r="AI72" s="47"/>
      <c r="AJ72" s="47">
        <v>0</v>
      </c>
      <c r="AK72" s="47">
        <v>0</v>
      </c>
      <c r="AL72" s="47">
        <v>0</v>
      </c>
      <c r="AM72" s="47">
        <v>0</v>
      </c>
    </row>
    <row r="73" spans="2:39">
      <c r="B73" s="24" t="s">
        <v>296</v>
      </c>
      <c r="D73" s="46">
        <f>Português!D73</f>
        <v>0</v>
      </c>
      <c r="E73" s="46">
        <f>Português!E73</f>
        <v>0</v>
      </c>
      <c r="F73" s="46">
        <f>Português!F73</f>
        <v>0</v>
      </c>
      <c r="G73" s="46">
        <f>Português!G73</f>
        <v>3397</v>
      </c>
      <c r="H73" s="46">
        <f>Português!H73</f>
        <v>7111.4989999999998</v>
      </c>
      <c r="I73" s="46">
        <f>Português!I73</f>
        <v>0</v>
      </c>
      <c r="J73" s="46">
        <v>0</v>
      </c>
      <c r="K73" s="47">
        <v>0</v>
      </c>
      <c r="L73" s="47">
        <v>0</v>
      </c>
      <c r="M73" s="48"/>
      <c r="N73" s="46">
        <f>Português!N73</f>
        <v>0</v>
      </c>
      <c r="O73" s="46">
        <f>Português!O73</f>
        <v>0</v>
      </c>
      <c r="P73" s="46">
        <f>Português!P73</f>
        <v>0</v>
      </c>
      <c r="Q73" s="46">
        <f>Português!Q73</f>
        <v>0</v>
      </c>
      <c r="R73" s="46">
        <f>Português!R73</f>
        <v>0</v>
      </c>
      <c r="S73" s="46">
        <f>Português!S73</f>
        <v>106</v>
      </c>
      <c r="T73" s="46">
        <f>Português!T73</f>
        <v>695</v>
      </c>
      <c r="U73" s="46">
        <f>Português!U73</f>
        <v>2596</v>
      </c>
      <c r="V73" s="46">
        <f>Português!V73</f>
        <v>3755</v>
      </c>
      <c r="W73" s="46">
        <f>Português!W73</f>
        <v>3356.4989999999998</v>
      </c>
      <c r="X73" s="46">
        <f>Português!X73</f>
        <v>0</v>
      </c>
      <c r="Y73" s="46">
        <f>Português!Y73</f>
        <v>0</v>
      </c>
      <c r="Z73" s="46">
        <f>Português!Z73</f>
        <v>0</v>
      </c>
      <c r="AA73" s="46">
        <f>Português!AA73</f>
        <v>0</v>
      </c>
      <c r="AB73" s="46">
        <f>Português!AB73</f>
        <v>0</v>
      </c>
      <c r="AC73" s="46">
        <f>Português!AC73</f>
        <v>0</v>
      </c>
      <c r="AD73" s="46">
        <f>Português!AD73</f>
        <v>0</v>
      </c>
      <c r="AE73" s="46">
        <f>Português!AE73</f>
        <v>0</v>
      </c>
      <c r="AF73" s="46">
        <f>Português!AF73</f>
        <v>0</v>
      </c>
      <c r="AG73" s="47">
        <v>0</v>
      </c>
      <c r="AH73" s="47"/>
      <c r="AI73" s="47"/>
      <c r="AJ73" s="47">
        <v>0</v>
      </c>
      <c r="AK73" s="47">
        <v>0</v>
      </c>
      <c r="AL73" s="47">
        <v>0</v>
      </c>
      <c r="AM73" s="47">
        <v>0</v>
      </c>
    </row>
    <row r="74" spans="2:39">
      <c r="B74" s="24" t="s">
        <v>369</v>
      </c>
      <c r="D74" s="46">
        <f>Português!D74</f>
        <v>0</v>
      </c>
      <c r="E74" s="46">
        <f>Português!E74</f>
        <v>0</v>
      </c>
      <c r="F74" s="46">
        <f>Português!F74</f>
        <v>0</v>
      </c>
      <c r="G74" s="46">
        <f>Português!G74</f>
        <v>0</v>
      </c>
      <c r="H74" s="46">
        <f>Português!H74</f>
        <v>0</v>
      </c>
      <c r="I74" s="46">
        <f>Português!I74</f>
        <v>0</v>
      </c>
      <c r="J74" s="46">
        <v>5265.4650000000001</v>
      </c>
      <c r="K74" s="47">
        <v>0</v>
      </c>
      <c r="L74" s="47">
        <v>0</v>
      </c>
      <c r="M74" s="48"/>
      <c r="N74" s="46"/>
      <c r="O74" s="46"/>
      <c r="P74" s="46"/>
      <c r="Q74" s="46"/>
      <c r="R74" s="46"/>
      <c r="S74" s="46"/>
      <c r="T74" s="46"/>
      <c r="U74" s="46"/>
      <c r="V74" s="46">
        <f>Português!V74</f>
        <v>0</v>
      </c>
      <c r="W74" s="46">
        <f>Português!W74</f>
        <v>0</v>
      </c>
      <c r="X74" s="46">
        <f>Português!X74</f>
        <v>0</v>
      </c>
      <c r="Y74" s="46">
        <f>Português!Y74</f>
        <v>0</v>
      </c>
      <c r="Z74" s="46">
        <f>Português!Z74</f>
        <v>0</v>
      </c>
      <c r="AA74" s="46">
        <f>Português!AA74</f>
        <v>0</v>
      </c>
      <c r="AB74" s="46">
        <f>Português!AB74</f>
        <v>0</v>
      </c>
      <c r="AC74" s="46">
        <f>Português!AC74</f>
        <v>0</v>
      </c>
      <c r="AD74" s="46">
        <f>Português!AD74</f>
        <v>0</v>
      </c>
      <c r="AE74" s="46">
        <f>Português!AE74</f>
        <v>986.46500000000003</v>
      </c>
      <c r="AF74" s="46">
        <f>Português!AF74</f>
        <v>4279</v>
      </c>
      <c r="AG74" s="47"/>
      <c r="AH74" s="47"/>
      <c r="AI74" s="47"/>
      <c r="AJ74" s="47">
        <v>0</v>
      </c>
      <c r="AK74" s="47">
        <v>0</v>
      </c>
      <c r="AL74" s="47">
        <v>0</v>
      </c>
      <c r="AM74" s="47">
        <v>0</v>
      </c>
    </row>
    <row r="75" spans="2:39">
      <c r="B75" s="24" t="s">
        <v>365</v>
      </c>
      <c r="D75" s="46">
        <f>Português!D75</f>
        <v>0</v>
      </c>
      <c r="E75" s="46">
        <f>Português!E75</f>
        <v>0</v>
      </c>
      <c r="F75" s="46">
        <f>Português!F75</f>
        <v>0</v>
      </c>
      <c r="G75" s="46">
        <f>Português!G75</f>
        <v>0</v>
      </c>
      <c r="H75" s="46">
        <f>Português!H75</f>
        <v>0</v>
      </c>
      <c r="I75" s="46">
        <f>Português!I75</f>
        <v>0</v>
      </c>
      <c r="J75" s="46">
        <v>754264</v>
      </c>
      <c r="K75" s="47">
        <v>0</v>
      </c>
      <c r="L75" s="47">
        <v>0</v>
      </c>
      <c r="M75" s="48"/>
      <c r="N75" s="46"/>
      <c r="O75" s="46"/>
      <c r="P75" s="46"/>
      <c r="Q75" s="46"/>
      <c r="R75" s="46"/>
      <c r="S75" s="46"/>
      <c r="T75" s="46"/>
      <c r="U75" s="46"/>
      <c r="V75" s="46">
        <f>Português!V75</f>
        <v>0</v>
      </c>
      <c r="W75" s="46">
        <f>Português!W75</f>
        <v>0</v>
      </c>
      <c r="X75" s="46">
        <f>Português!X75</f>
        <v>0</v>
      </c>
      <c r="Y75" s="46">
        <f>Português!Y75</f>
        <v>0</v>
      </c>
      <c r="Z75" s="46">
        <f>Português!Z75</f>
        <v>0</v>
      </c>
      <c r="AA75" s="46">
        <f>Português!AA75</f>
        <v>0</v>
      </c>
      <c r="AB75" s="46">
        <f>Português!AB75</f>
        <v>0</v>
      </c>
      <c r="AC75" s="46">
        <f>Português!AC75</f>
        <v>0</v>
      </c>
      <c r="AD75" s="46">
        <f>Português!AD75</f>
        <v>0</v>
      </c>
      <c r="AE75" s="46">
        <f>Português!AE75</f>
        <v>744142</v>
      </c>
      <c r="AF75" s="46">
        <f>Português!AF75</f>
        <v>10122</v>
      </c>
      <c r="AG75" s="47"/>
      <c r="AH75" s="47"/>
      <c r="AI75" s="47"/>
      <c r="AJ75" s="47">
        <v>0</v>
      </c>
      <c r="AK75" s="47">
        <v>0</v>
      </c>
      <c r="AL75" s="47">
        <v>0</v>
      </c>
      <c r="AM75" s="47">
        <v>0</v>
      </c>
    </row>
    <row r="76" spans="2:39">
      <c r="B76" s="24" t="s">
        <v>378</v>
      </c>
      <c r="D76" s="46"/>
      <c r="E76" s="46"/>
      <c r="F76" s="46"/>
      <c r="G76" s="46"/>
      <c r="H76" s="47">
        <f>Português!H76</f>
        <v>0</v>
      </c>
      <c r="I76" s="47">
        <f>Português!I76</f>
        <v>0</v>
      </c>
      <c r="J76" s="47">
        <v>-73975</v>
      </c>
      <c r="K76" s="47">
        <v>0</v>
      </c>
      <c r="L76" s="47">
        <v>0</v>
      </c>
      <c r="M76" s="47"/>
      <c r="N76" s="47">
        <f>Português!N76</f>
        <v>0</v>
      </c>
      <c r="O76" s="47">
        <f>Português!O76</f>
        <v>0</v>
      </c>
      <c r="P76" s="47">
        <f>Português!P76</f>
        <v>0</v>
      </c>
      <c r="Q76" s="47">
        <f>Português!Q76</f>
        <v>0</v>
      </c>
      <c r="R76" s="47">
        <f>Português!R76</f>
        <v>0</v>
      </c>
      <c r="S76" s="47">
        <f>Português!S76</f>
        <v>0</v>
      </c>
      <c r="T76" s="47">
        <f>Português!T76</f>
        <v>0</v>
      </c>
      <c r="U76" s="47">
        <f>Português!U76</f>
        <v>0</v>
      </c>
      <c r="V76" s="47">
        <f>Português!V76</f>
        <v>0</v>
      </c>
      <c r="W76" s="47">
        <f>Português!W76</f>
        <v>0</v>
      </c>
      <c r="X76" s="47">
        <f>Português!X76</f>
        <v>0</v>
      </c>
      <c r="Y76" s="47">
        <f>Português!Y76</f>
        <v>0</v>
      </c>
      <c r="Z76" s="47">
        <f>Português!Z76</f>
        <v>0</v>
      </c>
      <c r="AA76" s="47">
        <f>Português!AA76</f>
        <v>0</v>
      </c>
      <c r="AB76" s="47">
        <f>Português!AB76</f>
        <v>0</v>
      </c>
      <c r="AC76" s="47">
        <f>Português!AC76</f>
        <v>0</v>
      </c>
      <c r="AD76" s="47">
        <f>Português!AD76</f>
        <v>0</v>
      </c>
      <c r="AE76" s="47">
        <f>Português!AE76</f>
        <v>0</v>
      </c>
      <c r="AF76" s="47">
        <f>Português!AF76</f>
        <v>-73975</v>
      </c>
      <c r="AG76" s="47"/>
      <c r="AH76" s="47"/>
      <c r="AI76" s="47"/>
      <c r="AJ76" s="47">
        <v>0</v>
      </c>
      <c r="AK76" s="47">
        <v>0</v>
      </c>
      <c r="AL76" s="47">
        <v>0</v>
      </c>
      <c r="AM76" s="47">
        <v>0</v>
      </c>
    </row>
    <row r="77" spans="2:39">
      <c r="B77" s="24" t="s">
        <v>410</v>
      </c>
      <c r="D77" s="46"/>
      <c r="E77" s="46"/>
      <c r="F77" s="46"/>
      <c r="G77" s="46"/>
      <c r="H77" s="47"/>
      <c r="I77" s="47"/>
      <c r="J77" s="47"/>
      <c r="K77" s="47"/>
      <c r="L77" s="47">
        <v>5610.4858700000004</v>
      </c>
      <c r="M77" s="93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>
        <v>5610.4858700000004</v>
      </c>
      <c r="AM77" s="47">
        <v>0</v>
      </c>
    </row>
    <row r="78" spans="2:39">
      <c r="B78" s="23" t="s">
        <v>118</v>
      </c>
      <c r="D78" s="54">
        <f t="shared" ref="D78:G78" si="218">SUM(D70,D72:D73)</f>
        <v>220704.65302999999</v>
      </c>
      <c r="E78" s="54">
        <f t="shared" si="218"/>
        <v>257845.99999999994</v>
      </c>
      <c r="F78" s="54">
        <f t="shared" si="218"/>
        <v>155298</v>
      </c>
      <c r="G78" s="54">
        <f t="shared" si="218"/>
        <v>303230.8</v>
      </c>
      <c r="H78" s="54">
        <f t="shared" ref="H78" si="219">SUM(H70,H72:H76)</f>
        <v>449063.49900000001</v>
      </c>
      <c r="I78" s="54">
        <f t="shared" ref="I78" si="220">SUM(I70,I72:I76)</f>
        <v>525611</v>
      </c>
      <c r="J78" s="54">
        <v>458748.46499999997</v>
      </c>
      <c r="K78" s="54">
        <v>464830</v>
      </c>
      <c r="L78" s="54">
        <v>129961.48587</v>
      </c>
      <c r="M78" s="48"/>
      <c r="N78" s="54">
        <f t="shared" ref="N78:T78" si="221">SUM(N70,N80,N73)</f>
        <v>36955</v>
      </c>
      <c r="O78" s="54">
        <f t="shared" si="221"/>
        <v>23651.75</v>
      </c>
      <c r="P78" s="54">
        <f t="shared" si="221"/>
        <v>65876</v>
      </c>
      <c r="Q78" s="54">
        <f t="shared" si="221"/>
        <v>28815.250000000007</v>
      </c>
      <c r="R78" s="54">
        <f t="shared" si="221"/>
        <v>62088</v>
      </c>
      <c r="S78" s="54">
        <f t="shared" si="221"/>
        <v>95826</v>
      </c>
      <c r="T78" s="54">
        <f t="shared" si="221"/>
        <v>72649</v>
      </c>
      <c r="U78" s="54">
        <f t="shared" ref="U78:Y78" si="222">SUM(U70,U72:U73)</f>
        <v>78279.8</v>
      </c>
      <c r="V78" s="54">
        <f t="shared" si="222"/>
        <v>87021.15036</v>
      </c>
      <c r="W78" s="54">
        <f t="shared" si="222"/>
        <v>120402.41717546077</v>
      </c>
      <c r="X78" s="54">
        <f t="shared" si="222"/>
        <v>119808.41573999994</v>
      </c>
      <c r="Y78" s="54">
        <f t="shared" si="222"/>
        <v>121831.51572453915</v>
      </c>
      <c r="Z78" s="54">
        <f t="shared" ref="Z78:AC78" si="223">SUM(Z70,Z72:Z76)</f>
        <v>131868</v>
      </c>
      <c r="AA78" s="54">
        <f t="shared" si="223"/>
        <v>146987</v>
      </c>
      <c r="AB78" s="54">
        <f t="shared" si="223"/>
        <v>134254</v>
      </c>
      <c r="AC78" s="54">
        <f t="shared" si="223"/>
        <v>112502</v>
      </c>
      <c r="AD78" s="54">
        <f>SUM(AD70,AD72:AD76)</f>
        <v>139541</v>
      </c>
      <c r="AE78" s="54">
        <f t="shared" ref="AE78:AF78" si="224">SUM(AE70,AE72:AE76)</f>
        <v>120324.46499999997</v>
      </c>
      <c r="AF78" s="54">
        <f t="shared" si="224"/>
        <v>121348</v>
      </c>
      <c r="AG78" s="54">
        <v>77535</v>
      </c>
      <c r="AH78" s="54">
        <v>96580</v>
      </c>
      <c r="AI78" s="54">
        <v>115194</v>
      </c>
      <c r="AJ78" s="54">
        <v>125860.99999999997</v>
      </c>
      <c r="AK78" s="54">
        <v>127195</v>
      </c>
      <c r="AL78" s="54">
        <v>129961.48587</v>
      </c>
      <c r="AM78" s="54">
        <v>138594</v>
      </c>
    </row>
    <row r="79" spans="2:39" s="3" customFormat="1">
      <c r="B79" s="20" t="s">
        <v>119</v>
      </c>
      <c r="C79" s="1"/>
      <c r="D79" s="10">
        <f t="shared" ref="D79:I79" si="225">IFERROR(D78/D22,"")</f>
        <v>0.35225048204789355</v>
      </c>
      <c r="E79" s="10">
        <f t="shared" si="225"/>
        <v>0.3519414063406397</v>
      </c>
      <c r="F79" s="10">
        <f t="shared" si="225"/>
        <v>0.21633435999448361</v>
      </c>
      <c r="G79" s="10">
        <f t="shared" si="225"/>
        <v>0.29603334137124099</v>
      </c>
      <c r="H79" s="10">
        <f t="shared" si="225"/>
        <v>0.25469647139295298</v>
      </c>
      <c r="I79" s="10">
        <f t="shared" si="225"/>
        <v>0.24026119172725258</v>
      </c>
      <c r="J79" s="10">
        <v>0.20608636968267308</v>
      </c>
      <c r="K79" s="10">
        <v>0.21368694217079601</v>
      </c>
      <c r="L79" s="10">
        <v>0.22603648591723222</v>
      </c>
      <c r="M79"/>
      <c r="N79" s="10">
        <f t="shared" ref="N79:W79" si="226">IFERROR(N78/N22,"")</f>
        <v>0.21707461774778108</v>
      </c>
      <c r="O79" s="10">
        <f t="shared" si="226"/>
        <v>0.16427592841155542</v>
      </c>
      <c r="P79" s="10">
        <f t="shared" si="226"/>
        <v>0.337206564358767</v>
      </c>
      <c r="Q79" s="10">
        <f t="shared" si="226"/>
        <v>0.13834446584928198</v>
      </c>
      <c r="R79" s="10">
        <f t="shared" si="226"/>
        <v>0.27380490386311518</v>
      </c>
      <c r="S79" s="10">
        <f t="shared" si="226"/>
        <v>0.35632320678243407</v>
      </c>
      <c r="T79" s="10">
        <f t="shared" si="226"/>
        <v>0.30219798504172179</v>
      </c>
      <c r="U79" s="10">
        <f t="shared" si="226"/>
        <v>0.2715964485585714</v>
      </c>
      <c r="V79" s="10">
        <f t="shared" si="226"/>
        <v>0.2539080678207436</v>
      </c>
      <c r="W79" s="10">
        <f t="shared" si="226"/>
        <v>0.27716488859464228</v>
      </c>
      <c r="X79" s="10">
        <f t="shared" ref="X79:Y79" si="227">IFERROR(X78/X22,"")</f>
        <v>0.2528222428695629</v>
      </c>
      <c r="Y79" s="10">
        <f t="shared" si="227"/>
        <v>0.23789929222712905</v>
      </c>
      <c r="Z79" s="10">
        <f t="shared" ref="Z79:AA79" si="228">IFERROR(Z78/Z22,"")</f>
        <v>0.25162815637170621</v>
      </c>
      <c r="AA79" s="10">
        <f t="shared" si="228"/>
        <v>0.26524528335934894</v>
      </c>
      <c r="AB79" s="10">
        <f t="shared" ref="AB79:AC79" si="229">IFERROR(AB78/AB22,"")</f>
        <v>0.23626825194860504</v>
      </c>
      <c r="AC79" s="10">
        <f t="shared" si="229"/>
        <v>0.20786587438842327</v>
      </c>
      <c r="AD79" s="10">
        <f t="shared" ref="AD79:AE79" si="230">IFERROR(AD78/AD22,"")</f>
        <v>0.23943246299324467</v>
      </c>
      <c r="AE79" s="10">
        <f t="shared" si="230"/>
        <v>0.20556231987057155</v>
      </c>
      <c r="AF79" s="10">
        <f t="shared" ref="AF79" si="231">IFERROR(AF78/AF22,"")</f>
        <v>0.21258503103424717</v>
      </c>
      <c r="AG79" s="10">
        <v>0.1591970236408658</v>
      </c>
      <c r="AH79" s="10">
        <v>0.1934238301042622</v>
      </c>
      <c r="AI79" s="10">
        <v>0.21099999999999999</v>
      </c>
      <c r="AJ79" s="10">
        <v>0.2216420683376272</v>
      </c>
      <c r="AK79" s="10">
        <v>0.22620366599502403</v>
      </c>
      <c r="AL79" s="10">
        <v>0.22603648591723222</v>
      </c>
      <c r="AM79" s="10">
        <v>0.22585812692602908</v>
      </c>
    </row>
    <row r="80" spans="2:39">
      <c r="B80" s="22" t="s">
        <v>223</v>
      </c>
      <c r="D80" s="46">
        <f>Português!D80</f>
        <v>0</v>
      </c>
      <c r="E80" s="46">
        <f>Português!E80</f>
        <v>0</v>
      </c>
      <c r="F80" s="46">
        <f>Português!F80</f>
        <v>0</v>
      </c>
      <c r="G80" s="46">
        <f>Português!G80</f>
        <v>8562</v>
      </c>
      <c r="H80" s="46">
        <f>Português!H80</f>
        <v>11704</v>
      </c>
      <c r="I80" s="46">
        <f>Português!I80</f>
        <v>11704</v>
      </c>
      <c r="J80" s="46">
        <v>8323</v>
      </c>
      <c r="K80" s="46"/>
      <c r="L80" s="47"/>
      <c r="M80" s="48"/>
      <c r="N80" s="46">
        <f>Português!N80</f>
        <v>0</v>
      </c>
      <c r="O80" s="46">
        <f>Português!O80</f>
        <v>0</v>
      </c>
      <c r="P80" s="46">
        <f>Português!P80</f>
        <v>0</v>
      </c>
      <c r="Q80" s="46">
        <f>Português!Q80</f>
        <v>0</v>
      </c>
      <c r="R80" s="46">
        <f>Português!R80</f>
        <v>0</v>
      </c>
      <c r="S80" s="46">
        <f>Português!S80</f>
        <v>2796</v>
      </c>
      <c r="T80" s="46">
        <f>Português!T80</f>
        <v>2816</v>
      </c>
      <c r="U80" s="46">
        <f>Português!U80</f>
        <v>2950</v>
      </c>
      <c r="V80" s="46">
        <f>Português!V80</f>
        <v>2886</v>
      </c>
      <c r="W80" s="46">
        <f>Português!W80</f>
        <v>2918.01</v>
      </c>
      <c r="X80" s="46">
        <f>Português!X80</f>
        <v>2950</v>
      </c>
      <c r="Y80" s="46">
        <f>Português!Y80</f>
        <v>2949.99</v>
      </c>
      <c r="Z80" s="46">
        <f>Português!Z80</f>
        <v>2886</v>
      </c>
      <c r="AA80" s="46">
        <f>Português!AA80</f>
        <v>2918</v>
      </c>
      <c r="AB80" s="46">
        <f>Português!AB80</f>
        <v>2950</v>
      </c>
      <c r="AC80" s="46">
        <f>Português!AC80</f>
        <v>2950</v>
      </c>
      <c r="AD80" s="46">
        <f>Português!AD80</f>
        <v>2918</v>
      </c>
      <c r="AE80" s="46">
        <f>Português!AE80</f>
        <v>1865</v>
      </c>
      <c r="AF80" s="46">
        <f>Português!AF80</f>
        <v>1769</v>
      </c>
      <c r="AG80" s="47">
        <v>1771</v>
      </c>
      <c r="AH80" s="47"/>
      <c r="AI80" s="47"/>
      <c r="AJ80" s="47"/>
      <c r="AK80" s="47"/>
      <c r="AL80" s="47"/>
      <c r="AM80" s="47">
        <v>0</v>
      </c>
    </row>
    <row r="81" spans="2:39">
      <c r="B81" s="23" t="s">
        <v>315</v>
      </c>
      <c r="D81" s="54">
        <f>D78</f>
        <v>220704.65302999999</v>
      </c>
      <c r="E81" s="54">
        <f t="shared" ref="E81:F81" si="232">E78</f>
        <v>257845.99999999994</v>
      </c>
      <c r="F81" s="54">
        <f t="shared" si="232"/>
        <v>155298</v>
      </c>
      <c r="G81" s="54">
        <f>G78+G80</f>
        <v>311792.8</v>
      </c>
      <c r="H81" s="54">
        <f>H78+H80</f>
        <v>460767.49900000001</v>
      </c>
      <c r="I81" s="54">
        <f>I78+I80</f>
        <v>537315</v>
      </c>
      <c r="J81" s="54">
        <v>467071.46499999997</v>
      </c>
      <c r="K81" s="54">
        <v>464830</v>
      </c>
      <c r="L81" s="54">
        <v>129961.48587</v>
      </c>
      <c r="M81" s="48"/>
      <c r="P81"/>
      <c r="Q81"/>
      <c r="R81"/>
      <c r="S81"/>
      <c r="T81"/>
      <c r="U81"/>
      <c r="V81"/>
      <c r="W81"/>
      <c r="X81"/>
      <c r="AG81"/>
      <c r="AH81"/>
      <c r="AI81"/>
      <c r="AJ81"/>
      <c r="AK81"/>
      <c r="AL81"/>
    </row>
    <row r="82" spans="2:39" s="3" customFormat="1">
      <c r="B82" s="20" t="s">
        <v>119</v>
      </c>
      <c r="C82" s="1"/>
      <c r="D82" s="10">
        <f>IFERROR(D81/D22,"")</f>
        <v>0.35225048204789355</v>
      </c>
      <c r="E82" s="10">
        <f t="shared" ref="E82:G82" si="233">IFERROR(E81/E22,"")</f>
        <v>0.3519414063406397</v>
      </c>
      <c r="F82" s="10">
        <f t="shared" si="233"/>
        <v>0.21633435999448361</v>
      </c>
      <c r="G82" s="10">
        <f t="shared" si="233"/>
        <v>0.30439211451968295</v>
      </c>
      <c r="H82" s="10">
        <f t="shared" ref="H82:I82" si="234">IFERROR(H81/H22,"")</f>
        <v>0.26133465843737169</v>
      </c>
      <c r="I82" s="10">
        <f t="shared" si="234"/>
        <v>0.24561118818466265</v>
      </c>
      <c r="J82" s="10">
        <v>0.20982536171367397</v>
      </c>
      <c r="K82" s="10">
        <v>0.21368694217079601</v>
      </c>
      <c r="L82" s="10">
        <v>0.22603648591723222</v>
      </c>
      <c r="M82"/>
      <c r="N82"/>
      <c r="O82"/>
      <c r="P82"/>
      <c r="Q82"/>
      <c r="R82"/>
      <c r="S82"/>
      <c r="T82"/>
      <c r="U82"/>
      <c r="V82"/>
      <c r="W82"/>
      <c r="X82"/>
      <c r="AG82"/>
      <c r="AH82"/>
      <c r="AI82"/>
      <c r="AJ82"/>
      <c r="AK82"/>
      <c r="AL82"/>
      <c r="AM82"/>
    </row>
    <row r="83" spans="2:39">
      <c r="AM83" s="1"/>
    </row>
    <row r="84" spans="2:39" ht="15.75" thickBot="1">
      <c r="B84" s="62" t="s">
        <v>274</v>
      </c>
      <c r="D84" s="66" t="s">
        <v>198</v>
      </c>
      <c r="E84" s="66" t="s">
        <v>199</v>
      </c>
      <c r="F84" s="66" t="s">
        <v>200</v>
      </c>
      <c r="G84" s="66" t="s">
        <v>275</v>
      </c>
      <c r="H84" s="66" t="s">
        <v>331</v>
      </c>
      <c r="I84" s="66" t="s">
        <v>352</v>
      </c>
      <c r="J84" s="66" t="s">
        <v>388</v>
      </c>
      <c r="K84" s="64">
        <v>46022</v>
      </c>
      <c r="L84" s="64">
        <v>46112</v>
      </c>
      <c r="N84" s="66" t="s">
        <v>201</v>
      </c>
      <c r="O84" s="66" t="s">
        <v>203</v>
      </c>
      <c r="P84" s="66" t="s">
        <v>255</v>
      </c>
      <c r="Q84" s="66" t="s">
        <v>200</v>
      </c>
      <c r="R84" s="66" t="s">
        <v>202</v>
      </c>
      <c r="S84" s="66" t="s">
        <v>204</v>
      </c>
      <c r="T84" s="66" t="s">
        <v>256</v>
      </c>
      <c r="U84" s="66" t="s">
        <v>275</v>
      </c>
      <c r="V84" s="66" t="s">
        <v>297</v>
      </c>
      <c r="W84" s="66" t="s">
        <v>297</v>
      </c>
      <c r="X84" s="66" t="s">
        <v>320</v>
      </c>
      <c r="Y84" s="66" t="s">
        <v>331</v>
      </c>
      <c r="Z84" s="66" t="s">
        <v>339</v>
      </c>
      <c r="AA84" s="66" t="s">
        <v>342</v>
      </c>
      <c r="AB84" s="66" t="s">
        <v>345</v>
      </c>
      <c r="AC84" s="66" t="s">
        <v>352</v>
      </c>
      <c r="AD84" s="66" t="s">
        <v>355</v>
      </c>
      <c r="AE84" s="66" t="s">
        <v>364</v>
      </c>
      <c r="AF84" s="66" t="s">
        <v>376</v>
      </c>
      <c r="AG84" s="64" t="s">
        <v>388</v>
      </c>
      <c r="AH84" s="64" t="s">
        <v>394</v>
      </c>
      <c r="AI84" s="64" t="s">
        <v>397</v>
      </c>
      <c r="AJ84" s="64" t="s">
        <v>401</v>
      </c>
      <c r="AK84" s="64">
        <v>46022</v>
      </c>
      <c r="AL84" s="64">
        <v>46112</v>
      </c>
      <c r="AM84" s="64">
        <v>46203</v>
      </c>
    </row>
    <row r="85" spans="2:39" ht="15.75" thickTop="1">
      <c r="B85" s="25" t="s">
        <v>121</v>
      </c>
      <c r="D85" s="26"/>
      <c r="E85" s="26"/>
      <c r="F85" s="26"/>
      <c r="G85" s="26"/>
      <c r="H85" s="26"/>
      <c r="I85" s="26"/>
      <c r="J85" s="26"/>
      <c r="K85" s="26"/>
      <c r="L85" s="26"/>
      <c r="N85" s="26"/>
      <c r="O85" s="26"/>
      <c r="P85" s="26"/>
      <c r="Q85" s="26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6"/>
      <c r="AH85" s="26"/>
      <c r="AI85" s="26"/>
      <c r="AJ85" s="26"/>
      <c r="AK85" s="26"/>
      <c r="AL85" s="26"/>
      <c r="AM85" s="26"/>
    </row>
    <row r="86" spans="2:39">
      <c r="B86" s="28" t="s">
        <v>122</v>
      </c>
      <c r="D86" s="29"/>
      <c r="E86" s="29"/>
      <c r="F86" s="29"/>
      <c r="G86" s="29"/>
      <c r="H86" s="29"/>
      <c r="I86" s="29"/>
      <c r="J86" s="29"/>
      <c r="K86" s="9"/>
      <c r="L86" s="9"/>
      <c r="N86" s="29"/>
      <c r="O86" s="29"/>
      <c r="P86" s="29"/>
      <c r="Q86" s="29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9"/>
      <c r="AH86" s="9"/>
      <c r="AI86" s="9"/>
      <c r="AJ86" s="9"/>
      <c r="AK86" s="9"/>
      <c r="AL86" s="9"/>
      <c r="AM86" s="9"/>
    </row>
    <row r="87" spans="2:39">
      <c r="B87" s="31" t="s">
        <v>123</v>
      </c>
      <c r="D87" s="46">
        <f>Português!D87</f>
        <v>173020</v>
      </c>
      <c r="E87" s="46">
        <f>Português!E87</f>
        <v>123671</v>
      </c>
      <c r="F87" s="46">
        <f>Português!F87</f>
        <v>121207</v>
      </c>
      <c r="G87" s="46">
        <f>Português!G87</f>
        <v>1000200</v>
      </c>
      <c r="H87" s="46">
        <f>Português!H87</f>
        <v>246414</v>
      </c>
      <c r="I87" s="46">
        <f>Português!I87</f>
        <v>227302</v>
      </c>
      <c r="J87" s="46">
        <v>622581</v>
      </c>
      <c r="K87" s="47">
        <v>599130</v>
      </c>
      <c r="L87" s="47">
        <v>556803</v>
      </c>
      <c r="M87" s="48"/>
      <c r="N87" s="46">
        <f>Português!N87</f>
        <v>151052</v>
      </c>
      <c r="O87" s="46">
        <f>Português!O87</f>
        <v>141115</v>
      </c>
      <c r="P87" s="46">
        <f>Português!P87</f>
        <v>109734</v>
      </c>
      <c r="Q87" s="46">
        <f>Português!Q87</f>
        <v>121207</v>
      </c>
      <c r="R87" s="46">
        <f>Português!R87</f>
        <v>76680</v>
      </c>
      <c r="S87" s="46">
        <f>Português!S87</f>
        <v>871556</v>
      </c>
      <c r="T87" s="46">
        <f>Português!T87</f>
        <v>865895</v>
      </c>
      <c r="U87" s="46">
        <f>Português!U87</f>
        <v>1000200</v>
      </c>
      <c r="V87" s="46">
        <f>Português!V87</f>
        <v>665115</v>
      </c>
      <c r="W87" s="46">
        <f>Português!W87</f>
        <v>393168.01734999998</v>
      </c>
      <c r="X87" s="46">
        <f>Português!X87</f>
        <v>345909</v>
      </c>
      <c r="Y87" s="46">
        <f>Português!Y87</f>
        <v>246414</v>
      </c>
      <c r="Z87" s="46">
        <f>Português!Z87</f>
        <v>206968</v>
      </c>
      <c r="AA87" s="46">
        <f>Português!AA87</f>
        <v>223953</v>
      </c>
      <c r="AB87" s="46">
        <f>Português!AB87</f>
        <v>265675</v>
      </c>
      <c r="AC87" s="46">
        <f>Português!AC87</f>
        <v>227302</v>
      </c>
      <c r="AD87" s="46">
        <f>Português!AD87</f>
        <v>162407</v>
      </c>
      <c r="AE87" s="46">
        <f>Português!AE87</f>
        <v>269395</v>
      </c>
      <c r="AF87" s="46">
        <f>Português!AF87</f>
        <v>704454</v>
      </c>
      <c r="AG87" s="47">
        <v>622581</v>
      </c>
      <c r="AH87" s="47">
        <v>616113</v>
      </c>
      <c r="AI87" s="47">
        <v>613537</v>
      </c>
      <c r="AJ87" s="47">
        <v>654027</v>
      </c>
      <c r="AK87" s="47">
        <v>599130</v>
      </c>
      <c r="AL87" s="47">
        <v>556803</v>
      </c>
      <c r="AM87" s="47">
        <v>599902</v>
      </c>
    </row>
    <row r="88" spans="2:39">
      <c r="B88" s="32" t="s">
        <v>185</v>
      </c>
      <c r="D88" s="47">
        <f>Português!D88</f>
        <v>113264</v>
      </c>
      <c r="E88" s="47">
        <f>Português!E88</f>
        <v>137529</v>
      </c>
      <c r="F88" s="47">
        <f>Português!F88</f>
        <v>149603</v>
      </c>
      <c r="G88" s="47">
        <f>Português!G88</f>
        <v>278367</v>
      </c>
      <c r="H88" s="47">
        <f>Português!H88</f>
        <v>131884</v>
      </c>
      <c r="I88" s="47">
        <f>Português!I88</f>
        <v>91831</v>
      </c>
      <c r="J88" s="47">
        <v>52735</v>
      </c>
      <c r="K88" s="47">
        <v>26328</v>
      </c>
      <c r="L88" s="47">
        <v>27168</v>
      </c>
      <c r="M88" s="48"/>
      <c r="N88" s="47">
        <f>Português!N88</f>
        <v>146785</v>
      </c>
      <c r="O88" s="47">
        <f>Português!O88</f>
        <v>170097</v>
      </c>
      <c r="P88" s="47">
        <f>Português!P88</f>
        <v>172141</v>
      </c>
      <c r="Q88" s="47">
        <f>Português!Q88</f>
        <v>149603</v>
      </c>
      <c r="R88" s="47">
        <f>Português!R88</f>
        <v>151288</v>
      </c>
      <c r="S88" s="47">
        <f>Português!S88</f>
        <v>512942</v>
      </c>
      <c r="T88" s="47">
        <f>Português!T88</f>
        <v>487562</v>
      </c>
      <c r="U88" s="47">
        <f>Português!U88</f>
        <v>278367</v>
      </c>
      <c r="V88" s="47">
        <f>Português!V88</f>
        <v>193682</v>
      </c>
      <c r="W88" s="47">
        <f>Português!W88</f>
        <v>208661.261</v>
      </c>
      <c r="X88" s="47">
        <f>Português!X88</f>
        <v>135626</v>
      </c>
      <c r="Y88" s="47">
        <f>Português!Y88</f>
        <v>131884</v>
      </c>
      <c r="Z88" s="47">
        <f>Português!Z88</f>
        <v>120785</v>
      </c>
      <c r="AA88" s="47">
        <f>Português!AA88</f>
        <v>92911</v>
      </c>
      <c r="AB88" s="47">
        <f>Português!AB88</f>
        <v>98061</v>
      </c>
      <c r="AC88" s="47">
        <f>Português!AC88</f>
        <v>91831</v>
      </c>
      <c r="AD88" s="47">
        <f>Português!AD88</f>
        <v>79168</v>
      </c>
      <c r="AE88" s="47">
        <f>Português!AE88</f>
        <v>55186</v>
      </c>
      <c r="AF88" s="47">
        <f>Português!AF88</f>
        <v>51460</v>
      </c>
      <c r="AG88" s="47">
        <v>52735</v>
      </c>
      <c r="AH88" s="47">
        <v>54300</v>
      </c>
      <c r="AI88" s="47">
        <v>24676</v>
      </c>
      <c r="AJ88" s="47">
        <v>25516</v>
      </c>
      <c r="AK88" s="47">
        <v>26328</v>
      </c>
      <c r="AL88" s="47">
        <v>27168</v>
      </c>
      <c r="AM88" s="47">
        <v>27928</v>
      </c>
    </row>
    <row r="89" spans="2:39">
      <c r="B89" s="16" t="s">
        <v>124</v>
      </c>
      <c r="D89" s="47">
        <f>Português!D89</f>
        <v>155303</v>
      </c>
      <c r="E89" s="47">
        <f>Português!E89</f>
        <v>233024</v>
      </c>
      <c r="F89" s="47">
        <f>Português!F89</f>
        <v>256252</v>
      </c>
      <c r="G89" s="47">
        <f>Português!G89</f>
        <v>391222</v>
      </c>
      <c r="H89" s="47">
        <f>Português!H89</f>
        <v>609347</v>
      </c>
      <c r="I89" s="47">
        <f>Português!I89</f>
        <v>798581</v>
      </c>
      <c r="J89" s="47">
        <v>662537</v>
      </c>
      <c r="K89" s="47">
        <v>717064</v>
      </c>
      <c r="L89" s="47">
        <v>768819</v>
      </c>
      <c r="M89" s="48"/>
      <c r="N89" s="47">
        <f>Português!N89</f>
        <v>206507.25</v>
      </c>
      <c r="O89" s="47">
        <f>Português!O89</f>
        <v>207594</v>
      </c>
      <c r="P89" s="47">
        <f>Português!P89</f>
        <v>221095</v>
      </c>
      <c r="Q89" s="47">
        <f>Português!Q89</f>
        <v>256252</v>
      </c>
      <c r="R89" s="47">
        <f>Português!R89</f>
        <v>267797</v>
      </c>
      <c r="S89" s="47">
        <f>Português!S89</f>
        <v>309511</v>
      </c>
      <c r="T89" s="47">
        <f>Português!T89</f>
        <v>289735</v>
      </c>
      <c r="U89" s="47">
        <f>Português!U89</f>
        <v>391222</v>
      </c>
      <c r="V89" s="47">
        <f>Português!V89</f>
        <v>451062</v>
      </c>
      <c r="W89" s="47">
        <f>Português!W89</f>
        <v>482111.13270000002</v>
      </c>
      <c r="X89" s="47">
        <f>Português!X89</f>
        <v>562109</v>
      </c>
      <c r="Y89" s="47">
        <f>Português!Y89</f>
        <v>609347</v>
      </c>
      <c r="Z89" s="47">
        <f>Português!Z89</f>
        <v>655495</v>
      </c>
      <c r="AA89" s="47">
        <f>Português!AA89</f>
        <v>735657</v>
      </c>
      <c r="AB89" s="47">
        <f>Português!AB89</f>
        <v>790725</v>
      </c>
      <c r="AC89" s="47">
        <f>Português!AC89</f>
        <v>798581</v>
      </c>
      <c r="AD89" s="47">
        <f>Português!AD89</f>
        <v>871839</v>
      </c>
      <c r="AE89" s="47">
        <f>Português!AE89</f>
        <v>645825</v>
      </c>
      <c r="AF89" s="47">
        <f>Português!AF89</f>
        <v>653957</v>
      </c>
      <c r="AG89" s="47">
        <v>662537</v>
      </c>
      <c r="AH89" s="47">
        <v>688276</v>
      </c>
      <c r="AI89" s="47">
        <v>724418</v>
      </c>
      <c r="AJ89" s="47">
        <v>742217</v>
      </c>
      <c r="AK89" s="47">
        <v>717064</v>
      </c>
      <c r="AL89" s="47">
        <v>768819</v>
      </c>
      <c r="AM89" s="47">
        <v>770137</v>
      </c>
    </row>
    <row r="90" spans="2:39">
      <c r="B90" s="16" t="s">
        <v>125</v>
      </c>
      <c r="D90" s="47">
        <f>Português!D90</f>
        <v>13157</v>
      </c>
      <c r="E90" s="47">
        <f>Português!E90</f>
        <v>15642</v>
      </c>
      <c r="F90" s="47">
        <f>Português!F90</f>
        <v>20109</v>
      </c>
      <c r="G90" s="47">
        <f>Português!G90</f>
        <v>35339</v>
      </c>
      <c r="H90" s="47">
        <f>Português!H90</f>
        <v>64286</v>
      </c>
      <c r="I90" s="47">
        <f>Português!I90</f>
        <v>63165</v>
      </c>
      <c r="J90" s="47">
        <v>49757</v>
      </c>
      <c r="K90" s="47">
        <v>71785</v>
      </c>
      <c r="L90" s="47">
        <v>78882</v>
      </c>
      <c r="M90" s="48"/>
      <c r="N90" s="47">
        <f>Português!N90</f>
        <v>20718</v>
      </c>
      <c r="O90" s="47">
        <f>Português!O90</f>
        <v>23444</v>
      </c>
      <c r="P90" s="47">
        <f>Português!P90</f>
        <v>22836</v>
      </c>
      <c r="Q90" s="47">
        <f>Português!Q90</f>
        <v>20109</v>
      </c>
      <c r="R90" s="47">
        <f>Português!R90</f>
        <v>27857</v>
      </c>
      <c r="S90" s="47">
        <f>Português!S90</f>
        <v>34282</v>
      </c>
      <c r="T90" s="47">
        <f>Português!T90</f>
        <v>27168</v>
      </c>
      <c r="U90" s="47">
        <f>Português!U90</f>
        <v>35339</v>
      </c>
      <c r="V90" s="47">
        <f>Português!V90</f>
        <v>43334</v>
      </c>
      <c r="W90" s="47">
        <f>Português!W90</f>
        <v>50452.537000000004</v>
      </c>
      <c r="X90" s="47">
        <f>Português!X90</f>
        <v>56993</v>
      </c>
      <c r="Y90" s="47">
        <f>Português!Y90</f>
        <v>64286</v>
      </c>
      <c r="Z90" s="47">
        <f>Português!Z90</f>
        <v>57946</v>
      </c>
      <c r="AA90" s="47">
        <f>Português!AA90</f>
        <v>65156</v>
      </c>
      <c r="AB90" s="47">
        <f>Português!AB90</f>
        <v>60297</v>
      </c>
      <c r="AC90" s="47">
        <f>Português!AC90</f>
        <v>63165</v>
      </c>
      <c r="AD90" s="47">
        <f>Português!AD90</f>
        <v>77380</v>
      </c>
      <c r="AE90" s="47">
        <f>Português!AE90</f>
        <v>52801</v>
      </c>
      <c r="AF90" s="47">
        <f>Português!AF90</f>
        <v>48183</v>
      </c>
      <c r="AG90" s="47">
        <v>49757</v>
      </c>
      <c r="AH90" s="47">
        <v>62268</v>
      </c>
      <c r="AI90" s="47">
        <v>53674</v>
      </c>
      <c r="AJ90" s="47">
        <v>64261</v>
      </c>
      <c r="AK90" s="47">
        <v>71785</v>
      </c>
      <c r="AL90" s="47">
        <v>78882</v>
      </c>
      <c r="AM90" s="47">
        <v>75387</v>
      </c>
    </row>
    <row r="91" spans="2:39">
      <c r="B91" s="32" t="s">
        <v>126</v>
      </c>
      <c r="D91" s="47">
        <f>Português!D91</f>
        <v>0</v>
      </c>
      <c r="E91" s="47">
        <f>Português!E91</f>
        <v>0</v>
      </c>
      <c r="F91" s="47">
        <f>Português!F91</f>
        <v>4585</v>
      </c>
      <c r="G91" s="47">
        <f>Português!G91</f>
        <v>979</v>
      </c>
      <c r="H91" s="47">
        <f>Português!H91</f>
        <v>0</v>
      </c>
      <c r="I91" s="47">
        <f>Português!I91</f>
        <v>1054</v>
      </c>
      <c r="J91" s="47">
        <v>0</v>
      </c>
      <c r="K91" s="47">
        <v>0</v>
      </c>
      <c r="L91" s="47">
        <v>0</v>
      </c>
      <c r="M91" s="48"/>
      <c r="N91" s="47">
        <f>Português!N91</f>
        <v>6540</v>
      </c>
      <c r="O91" s="47">
        <f>Português!O91</f>
        <v>7222</v>
      </c>
      <c r="P91" s="47">
        <f>Português!P91</f>
        <v>5950</v>
      </c>
      <c r="Q91" s="47">
        <f>Português!Q91</f>
        <v>4585</v>
      </c>
      <c r="R91" s="47">
        <f>Português!R91</f>
        <v>3923</v>
      </c>
      <c r="S91" s="47">
        <f>Português!S91</f>
        <v>1225</v>
      </c>
      <c r="T91" s="47">
        <f>Português!T91</f>
        <v>1208</v>
      </c>
      <c r="U91" s="47">
        <f>Português!U91</f>
        <v>979</v>
      </c>
      <c r="V91" s="47">
        <f>Português!V91</f>
        <v>258</v>
      </c>
      <c r="W91" s="47">
        <f>Português!W91</f>
        <v>360</v>
      </c>
      <c r="X91" s="47">
        <f>Português!X91</f>
        <v>0</v>
      </c>
      <c r="Y91" s="47">
        <f>Português!Y91</f>
        <v>0</v>
      </c>
      <c r="Z91" s="47">
        <f>Português!Z91</f>
        <v>4774</v>
      </c>
      <c r="AA91" s="47">
        <f>Português!AA91</f>
        <v>13557</v>
      </c>
      <c r="AB91" s="47">
        <f>Português!AB91</f>
        <v>259</v>
      </c>
      <c r="AC91" s="47">
        <f>Português!AC91</f>
        <v>1054</v>
      </c>
      <c r="AD91" s="47">
        <f>Português!AD91</f>
        <v>722</v>
      </c>
      <c r="AE91" s="47">
        <f>Português!AE91</f>
        <v>0</v>
      </c>
      <c r="AF91" s="47">
        <f>Português!AF91</f>
        <v>0</v>
      </c>
      <c r="AG91" s="47">
        <v>0</v>
      </c>
      <c r="AH91" s="47">
        <v>0</v>
      </c>
      <c r="AI91" s="47">
        <v>0</v>
      </c>
      <c r="AJ91" s="47"/>
      <c r="AK91" s="47">
        <v>0</v>
      </c>
      <c r="AL91" s="47">
        <v>0</v>
      </c>
      <c r="AM91" s="47">
        <v>0</v>
      </c>
    </row>
    <row r="92" spans="2:39">
      <c r="B92" s="32" t="s">
        <v>205</v>
      </c>
      <c r="D92" s="47">
        <f>Português!D92</f>
        <v>0</v>
      </c>
      <c r="E92" s="47">
        <f>Português!E92</f>
        <v>0</v>
      </c>
      <c r="F92" s="47">
        <f>Português!F92</f>
        <v>0</v>
      </c>
      <c r="G92" s="47">
        <f>Português!G92</f>
        <v>32500</v>
      </c>
      <c r="H92" s="47">
        <f>Português!H92</f>
        <v>35769</v>
      </c>
      <c r="I92" s="47">
        <f>Português!I92</f>
        <v>38143</v>
      </c>
      <c r="J92" s="47">
        <v>41357</v>
      </c>
      <c r="K92" s="47">
        <v>43195</v>
      </c>
      <c r="L92" s="47">
        <v>43661</v>
      </c>
      <c r="M92" s="48"/>
      <c r="N92" s="47">
        <f>Português!N92</f>
        <v>0</v>
      </c>
      <c r="O92" s="47">
        <f>Português!O92</f>
        <v>0</v>
      </c>
      <c r="P92" s="47">
        <f>Português!P92</f>
        <v>0</v>
      </c>
      <c r="Q92" s="47">
        <f>Português!Q92</f>
        <v>0</v>
      </c>
      <c r="R92" s="47">
        <f>Português!R92</f>
        <v>22386</v>
      </c>
      <c r="S92" s="47">
        <f>Português!S92</f>
        <v>32500</v>
      </c>
      <c r="T92" s="47">
        <f>Português!T92</f>
        <v>32500</v>
      </c>
      <c r="U92" s="47">
        <f>Português!U92</f>
        <v>32500</v>
      </c>
      <c r="V92" s="47">
        <f>Português!V92</f>
        <v>32500</v>
      </c>
      <c r="W92" s="47">
        <f>Português!W92</f>
        <v>35770</v>
      </c>
      <c r="X92" s="47">
        <f>Português!X92</f>
        <v>42357</v>
      </c>
      <c r="Y92" s="47">
        <f>Português!Y92</f>
        <v>35769</v>
      </c>
      <c r="Z92" s="47">
        <f>Português!Z92</f>
        <v>37839</v>
      </c>
      <c r="AA92" s="47">
        <f>Português!AA92</f>
        <v>39598</v>
      </c>
      <c r="AB92" s="47">
        <f>Português!AB92</f>
        <v>39021</v>
      </c>
      <c r="AC92" s="47">
        <f>Português!AC92</f>
        <v>38143</v>
      </c>
      <c r="AD92" s="47">
        <f>Português!AD92</f>
        <v>38978</v>
      </c>
      <c r="AE92" s="47">
        <f>Português!AE92</f>
        <v>40125</v>
      </c>
      <c r="AF92" s="47">
        <f>Português!AF92</f>
        <v>40703</v>
      </c>
      <c r="AG92" s="47">
        <v>41357</v>
      </c>
      <c r="AH92" s="47">
        <v>41800</v>
      </c>
      <c r="AI92" s="47">
        <v>42248</v>
      </c>
      <c r="AJ92" s="47">
        <v>42710</v>
      </c>
      <c r="AK92" s="47">
        <v>43195</v>
      </c>
      <c r="AL92" s="47">
        <v>43661</v>
      </c>
      <c r="AM92" s="47">
        <v>44128</v>
      </c>
    </row>
    <row r="93" spans="2:39">
      <c r="B93" s="32" t="s">
        <v>226</v>
      </c>
      <c r="D93" s="47">
        <v>0</v>
      </c>
      <c r="E93" s="47">
        <v>0</v>
      </c>
      <c r="F93" s="47">
        <v>0</v>
      </c>
      <c r="G93" s="47">
        <v>0</v>
      </c>
      <c r="H93" s="47">
        <f>Português!H93</f>
        <v>23528</v>
      </c>
      <c r="I93" s="47">
        <f>Português!I93</f>
        <v>0</v>
      </c>
      <c r="J93" s="47">
        <v>0</v>
      </c>
      <c r="K93" s="47">
        <v>0</v>
      </c>
      <c r="L93" s="47"/>
      <c r="M93" s="48"/>
      <c r="N93" s="47"/>
      <c r="O93" s="47"/>
      <c r="P93" s="47"/>
      <c r="Q93" s="47"/>
      <c r="R93" s="47">
        <v>0</v>
      </c>
      <c r="S93" s="47">
        <v>0</v>
      </c>
      <c r="T93" s="47">
        <v>0</v>
      </c>
      <c r="U93" s="47">
        <v>0</v>
      </c>
      <c r="V93" s="47">
        <f>Português!V93</f>
        <v>15827</v>
      </c>
      <c r="W93" s="47">
        <f>Português!W93</f>
        <v>12401</v>
      </c>
      <c r="X93" s="47">
        <f>Português!X93</f>
        <v>19621</v>
      </c>
      <c r="Y93" s="47">
        <f>Português!Y93</f>
        <v>23528</v>
      </c>
      <c r="Z93" s="47">
        <f>Português!Z93</f>
        <v>11868</v>
      </c>
      <c r="AA93" s="47">
        <f>Português!AA93</f>
        <v>5610</v>
      </c>
      <c r="AB93" s="47">
        <f>Português!AB93</f>
        <v>4875</v>
      </c>
      <c r="AC93" s="47">
        <f>Português!AC93</f>
        <v>0</v>
      </c>
      <c r="AD93" s="47">
        <f>Português!AD93</f>
        <v>0</v>
      </c>
      <c r="AE93" s="47">
        <f>Português!AE93</f>
        <v>0</v>
      </c>
      <c r="AF93" s="47">
        <f>Português!AF93</f>
        <v>0</v>
      </c>
      <c r="AG93" s="47">
        <v>0</v>
      </c>
      <c r="AH93" s="47">
        <v>0</v>
      </c>
      <c r="AI93" s="47">
        <v>0</v>
      </c>
      <c r="AJ93" s="47"/>
      <c r="AK93" s="47">
        <v>0</v>
      </c>
      <c r="AL93" s="47"/>
      <c r="AM93" s="47">
        <v>0</v>
      </c>
    </row>
    <row r="94" spans="2:39">
      <c r="B94" s="16" t="s">
        <v>127</v>
      </c>
      <c r="D94" s="47">
        <f>Português!D94</f>
        <v>7105</v>
      </c>
      <c r="E94" s="47">
        <f>Português!E94</f>
        <v>3194</v>
      </c>
      <c r="F94" s="47">
        <f>Português!F94</f>
        <v>3514</v>
      </c>
      <c r="G94" s="47">
        <f>Português!G94</f>
        <v>11104</v>
      </c>
      <c r="H94" s="47">
        <f>Português!H94</f>
        <v>48920</v>
      </c>
      <c r="I94" s="47">
        <f>Português!I94</f>
        <v>38097</v>
      </c>
      <c r="J94" s="47">
        <v>48735</v>
      </c>
      <c r="K94" s="47">
        <v>36591</v>
      </c>
      <c r="L94" s="47">
        <v>40072</v>
      </c>
      <c r="M94" s="48"/>
      <c r="N94" s="47">
        <f>Português!N94</f>
        <v>4712</v>
      </c>
      <c r="O94" s="47">
        <f>Português!O94</f>
        <v>2820</v>
      </c>
      <c r="P94" s="47">
        <f>Português!P94</f>
        <v>3378</v>
      </c>
      <c r="Q94" s="47">
        <f>Português!Q94</f>
        <v>3514</v>
      </c>
      <c r="R94" s="47">
        <f>Português!R94</f>
        <v>9357</v>
      </c>
      <c r="S94" s="47">
        <f>Português!S94</f>
        <v>9742</v>
      </c>
      <c r="T94" s="47">
        <f>Português!T94</f>
        <v>8817</v>
      </c>
      <c r="U94" s="47">
        <f>Português!U94</f>
        <v>11104</v>
      </c>
      <c r="V94" s="47">
        <f>Português!V94</f>
        <v>21981</v>
      </c>
      <c r="W94" s="47">
        <f>Português!W94</f>
        <v>28781.44601</v>
      </c>
      <c r="X94" s="47">
        <f>Português!X94</f>
        <v>46389</v>
      </c>
      <c r="Y94" s="47">
        <f>Português!Y94</f>
        <v>48920</v>
      </c>
      <c r="Z94" s="47">
        <f>Português!Z94</f>
        <v>53012</v>
      </c>
      <c r="AA94" s="47">
        <f>Português!AA94</f>
        <v>53799</v>
      </c>
      <c r="AB94" s="47">
        <f>Português!AB94</f>
        <v>49982</v>
      </c>
      <c r="AC94" s="47">
        <f>Português!AC94</f>
        <v>38097</v>
      </c>
      <c r="AD94" s="47">
        <f>Português!AD94</f>
        <v>54843</v>
      </c>
      <c r="AE94" s="47">
        <f>Português!AE94</f>
        <v>61670</v>
      </c>
      <c r="AF94" s="47">
        <f>Português!AF94</f>
        <v>45777</v>
      </c>
      <c r="AG94" s="47">
        <v>48735</v>
      </c>
      <c r="AH94" s="47">
        <v>56098</v>
      </c>
      <c r="AI94" s="47">
        <v>40963</v>
      </c>
      <c r="AJ94" s="47">
        <v>34198</v>
      </c>
      <c r="AK94" s="47">
        <v>36591</v>
      </c>
      <c r="AL94" s="47">
        <v>40072</v>
      </c>
      <c r="AM94" s="47">
        <v>43181</v>
      </c>
    </row>
    <row r="95" spans="2:39">
      <c r="B95" s="33"/>
      <c r="D95" s="51">
        <f t="shared" ref="D95:G95" si="235">SUM(D87:D94)</f>
        <v>461849</v>
      </c>
      <c r="E95" s="51">
        <f t="shared" si="235"/>
        <v>513060</v>
      </c>
      <c r="F95" s="51">
        <f t="shared" si="235"/>
        <v>555270</v>
      </c>
      <c r="G95" s="51">
        <f t="shared" si="235"/>
        <v>1749711</v>
      </c>
      <c r="H95" s="51">
        <f t="shared" ref="H95:I95" si="236">SUM(H87:H94)</f>
        <v>1160148</v>
      </c>
      <c r="I95" s="51">
        <f t="shared" si="236"/>
        <v>1258173</v>
      </c>
      <c r="J95" s="51">
        <v>1477702</v>
      </c>
      <c r="K95" s="51">
        <v>1494093</v>
      </c>
      <c r="L95" s="51">
        <v>1515405</v>
      </c>
      <c r="N95" s="51">
        <f t="shared" ref="N95:AB95" si="237">SUM(N87:N94)</f>
        <v>536314.25</v>
      </c>
      <c r="O95" s="51">
        <f t="shared" si="237"/>
        <v>552292</v>
      </c>
      <c r="P95" s="51">
        <f t="shared" si="237"/>
        <v>535134</v>
      </c>
      <c r="Q95" s="51">
        <f t="shared" ref="Q95" si="238">F95</f>
        <v>555270</v>
      </c>
      <c r="R95" s="51">
        <f t="shared" si="237"/>
        <v>559288</v>
      </c>
      <c r="S95" s="51">
        <f t="shared" si="237"/>
        <v>1771758</v>
      </c>
      <c r="T95" s="51">
        <f t="shared" si="237"/>
        <v>1712885</v>
      </c>
      <c r="U95" s="51">
        <f t="shared" si="237"/>
        <v>1749711</v>
      </c>
      <c r="V95" s="51">
        <f t="shared" si="237"/>
        <v>1423759</v>
      </c>
      <c r="W95" s="51">
        <f t="shared" si="237"/>
        <v>1211705.3940600001</v>
      </c>
      <c r="X95" s="51">
        <f t="shared" si="237"/>
        <v>1209004</v>
      </c>
      <c r="Y95" s="51">
        <f t="shared" si="237"/>
        <v>1160148</v>
      </c>
      <c r="Z95" s="51">
        <f t="shared" si="237"/>
        <v>1148687</v>
      </c>
      <c r="AA95" s="51">
        <f t="shared" si="237"/>
        <v>1230241</v>
      </c>
      <c r="AB95" s="51">
        <f t="shared" si="237"/>
        <v>1308895</v>
      </c>
      <c r="AC95" s="51">
        <f t="shared" ref="AC95" si="239">I95</f>
        <v>1258173</v>
      </c>
      <c r="AD95" s="51">
        <f t="shared" ref="AD95:AE95" si="240">SUM(AD87:AD94)</f>
        <v>1285337</v>
      </c>
      <c r="AE95" s="51">
        <f t="shared" si="240"/>
        <v>1125002</v>
      </c>
      <c r="AF95" s="51">
        <f t="shared" ref="AF95" si="241">SUM(AF87:AF94)</f>
        <v>1544534</v>
      </c>
      <c r="AG95" s="51">
        <v>1477702</v>
      </c>
      <c r="AH95" s="51">
        <v>1518855</v>
      </c>
      <c r="AI95" s="51">
        <v>1499516</v>
      </c>
      <c r="AJ95" s="51">
        <v>1562929</v>
      </c>
      <c r="AK95" s="51">
        <v>1494093</v>
      </c>
      <c r="AL95" s="51">
        <v>1515405</v>
      </c>
      <c r="AM95" s="51">
        <v>1560663</v>
      </c>
    </row>
    <row r="96" spans="2:39">
      <c r="B96" s="16" t="s">
        <v>370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/>
      <c r="M96" s="48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>
        <f>Português!AD96</f>
        <v>0</v>
      </c>
      <c r="AE96" s="47">
        <f>Português!AE96</f>
        <v>988894</v>
      </c>
      <c r="AF96" s="47">
        <f>Português!AF96</f>
        <v>0</v>
      </c>
      <c r="AG96" s="47">
        <v>0</v>
      </c>
      <c r="AH96" s="47">
        <v>0</v>
      </c>
      <c r="AI96" s="47"/>
      <c r="AJ96" s="47"/>
      <c r="AK96" s="47">
        <v>0</v>
      </c>
      <c r="AL96" s="47"/>
      <c r="AM96" s="47">
        <v>0</v>
      </c>
    </row>
    <row r="97" spans="2:39">
      <c r="B97" s="33" t="s">
        <v>128</v>
      </c>
      <c r="D97" s="51">
        <f t="shared" ref="D97:I97" si="242">D96+D95</f>
        <v>461849</v>
      </c>
      <c r="E97" s="51">
        <f t="shared" si="242"/>
        <v>513060</v>
      </c>
      <c r="F97" s="51">
        <f t="shared" si="242"/>
        <v>555270</v>
      </c>
      <c r="G97" s="51">
        <f t="shared" si="242"/>
        <v>1749711</v>
      </c>
      <c r="H97" s="51">
        <f t="shared" si="242"/>
        <v>1160148</v>
      </c>
      <c r="I97" s="51">
        <f t="shared" si="242"/>
        <v>1258173</v>
      </c>
      <c r="J97" s="51">
        <v>1477702</v>
      </c>
      <c r="K97" s="51">
        <v>1494093</v>
      </c>
      <c r="L97" s="51">
        <v>1515405</v>
      </c>
      <c r="M97" s="48"/>
      <c r="N97" s="51">
        <f t="shared" ref="N97:U97" si="243">SUM(N87:N94)</f>
        <v>536314.25</v>
      </c>
      <c r="O97" s="51">
        <f t="shared" si="243"/>
        <v>552292</v>
      </c>
      <c r="P97" s="51">
        <f t="shared" si="243"/>
        <v>535134</v>
      </c>
      <c r="Q97" s="51">
        <f t="shared" si="243"/>
        <v>555270</v>
      </c>
      <c r="R97" s="51">
        <f t="shared" si="243"/>
        <v>559288</v>
      </c>
      <c r="S97" s="51">
        <f t="shared" si="243"/>
        <v>1771758</v>
      </c>
      <c r="T97" s="51">
        <f t="shared" si="243"/>
        <v>1712885</v>
      </c>
      <c r="U97" s="51">
        <f t="shared" si="243"/>
        <v>1749711</v>
      </c>
      <c r="V97" s="51">
        <f>V96+V95</f>
        <v>1423759</v>
      </c>
      <c r="W97" s="51">
        <f t="shared" ref="W97:AE97" si="244">W96+W95</f>
        <v>1211705.3940600001</v>
      </c>
      <c r="X97" s="51">
        <f t="shared" si="244"/>
        <v>1209004</v>
      </c>
      <c r="Y97" s="51">
        <f t="shared" si="244"/>
        <v>1160148</v>
      </c>
      <c r="Z97" s="51">
        <f t="shared" si="244"/>
        <v>1148687</v>
      </c>
      <c r="AA97" s="51">
        <f t="shared" si="244"/>
        <v>1230241</v>
      </c>
      <c r="AB97" s="51">
        <f t="shared" si="244"/>
        <v>1308895</v>
      </c>
      <c r="AC97" s="51">
        <f t="shared" si="244"/>
        <v>1258173</v>
      </c>
      <c r="AD97" s="51">
        <f t="shared" si="244"/>
        <v>1285337</v>
      </c>
      <c r="AE97" s="51">
        <f t="shared" si="244"/>
        <v>2113896</v>
      </c>
      <c r="AF97" s="51">
        <f t="shared" ref="AF97" si="245">AF96+AF95</f>
        <v>1544534</v>
      </c>
      <c r="AG97" s="51">
        <v>1477702</v>
      </c>
      <c r="AH97" s="51">
        <v>1518855</v>
      </c>
      <c r="AI97" s="51">
        <v>1499516</v>
      </c>
      <c r="AJ97" s="51">
        <v>1562929</v>
      </c>
      <c r="AK97" s="51">
        <v>1494093</v>
      </c>
      <c r="AL97" s="51">
        <v>1515405</v>
      </c>
      <c r="AM97" s="51">
        <v>1560663</v>
      </c>
    </row>
    <row r="98" spans="2:39">
      <c r="B98" s="28" t="s">
        <v>129</v>
      </c>
      <c r="D98" s="46"/>
      <c r="E98" s="46"/>
      <c r="F98" s="46"/>
      <c r="G98" s="46"/>
      <c r="H98" s="46"/>
      <c r="I98" s="46"/>
      <c r="J98" s="46">
        <v>0</v>
      </c>
      <c r="K98" s="46"/>
      <c r="L98" s="46"/>
      <c r="M98" s="48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G98" s="46"/>
      <c r="AH98" s="46"/>
      <c r="AI98" s="46"/>
      <c r="AJ98" s="46"/>
      <c r="AK98" s="46"/>
      <c r="AL98" s="46"/>
      <c r="AM98" s="46"/>
    </row>
    <row r="99" spans="2:39">
      <c r="B99" s="32" t="s">
        <v>205</v>
      </c>
      <c r="D99" s="47">
        <f>Português!D99</f>
        <v>0</v>
      </c>
      <c r="E99" s="47">
        <f>Português!E99</f>
        <v>0</v>
      </c>
      <c r="F99" s="47">
        <f>Português!F99</f>
        <v>0</v>
      </c>
      <c r="G99" s="47">
        <f>Português!G99</f>
        <v>134900</v>
      </c>
      <c r="H99" s="47">
        <f>Português!H99</f>
        <v>279841</v>
      </c>
      <c r="I99" s="47">
        <f>Português!I99</f>
        <v>305142</v>
      </c>
      <c r="J99" s="47">
        <v>289502</v>
      </c>
      <c r="K99" s="47">
        <v>259168</v>
      </c>
      <c r="L99" s="47">
        <v>251050</v>
      </c>
      <c r="M99" s="48"/>
      <c r="N99" s="47">
        <f>Português!N99</f>
        <v>0</v>
      </c>
      <c r="O99" s="47">
        <f>Português!O99</f>
        <v>0</v>
      </c>
      <c r="P99" s="47">
        <f>Português!P99</f>
        <v>0</v>
      </c>
      <c r="Q99" s="47">
        <f>Português!Q99</f>
        <v>0</v>
      </c>
      <c r="R99" s="47">
        <f>Português!R99</f>
        <v>0</v>
      </c>
      <c r="S99" s="47">
        <f>Português!S99</f>
        <v>40317</v>
      </c>
      <c r="T99" s="47">
        <f>Português!T99</f>
        <v>96421</v>
      </c>
      <c r="U99" s="47">
        <f>Português!U99</f>
        <v>134900</v>
      </c>
      <c r="V99" s="47">
        <f>Português!V99</f>
        <v>240822</v>
      </c>
      <c r="W99" s="47">
        <f>Português!W99</f>
        <v>258987</v>
      </c>
      <c r="X99" s="47">
        <f>Português!X99</f>
        <v>263197</v>
      </c>
      <c r="Y99" s="47">
        <f>Português!Y99</f>
        <v>279841</v>
      </c>
      <c r="Z99" s="47">
        <f>Português!Z99</f>
        <v>293846</v>
      </c>
      <c r="AA99" s="47">
        <f>Português!AA99</f>
        <v>301622</v>
      </c>
      <c r="AB99" s="47">
        <f>Português!AB99</f>
        <v>301622</v>
      </c>
      <c r="AC99" s="47">
        <f>Português!AC99</f>
        <v>305142</v>
      </c>
      <c r="AD99" s="47">
        <f>Português!AD99</f>
        <v>302082</v>
      </c>
      <c r="AE99" s="47">
        <f>Português!AE99</f>
        <v>297776</v>
      </c>
      <c r="AF99" s="47">
        <f>Português!AF99</f>
        <v>295099</v>
      </c>
      <c r="AG99" s="47">
        <v>289502</v>
      </c>
      <c r="AH99" s="47">
        <v>282150</v>
      </c>
      <c r="AI99" s="47">
        <v>274563</v>
      </c>
      <c r="AJ99" s="47">
        <v>266937</v>
      </c>
      <c r="AK99" s="47">
        <v>259168</v>
      </c>
      <c r="AL99" s="47">
        <v>251050</v>
      </c>
      <c r="AM99" s="47">
        <v>242703</v>
      </c>
    </row>
    <row r="100" spans="2:39">
      <c r="B100" s="32" t="s">
        <v>226</v>
      </c>
      <c r="D100" s="47">
        <f>Português!D100</f>
        <v>0</v>
      </c>
      <c r="E100" s="47">
        <f>Português!E100</f>
        <v>0</v>
      </c>
      <c r="F100" s="47">
        <f>Português!F100</f>
        <v>52222</v>
      </c>
      <c r="G100" s="47">
        <f>Português!G100</f>
        <v>76980</v>
      </c>
      <c r="H100" s="47">
        <f>Português!H100</f>
        <v>0</v>
      </c>
      <c r="I100" s="47">
        <f>Português!I100</f>
        <v>0</v>
      </c>
      <c r="J100" s="47">
        <v>0</v>
      </c>
      <c r="K100" s="1">
        <v>0</v>
      </c>
      <c r="L100" s="50">
        <v>0</v>
      </c>
      <c r="M100" s="48"/>
      <c r="N100" s="47">
        <f>Português!N100</f>
        <v>0</v>
      </c>
      <c r="O100" s="47">
        <f>Português!O100</f>
        <v>0</v>
      </c>
      <c r="P100" s="47">
        <f>Português!P100</f>
        <v>0</v>
      </c>
      <c r="Q100" s="47">
        <f>Português!Q100</f>
        <v>52222</v>
      </c>
      <c r="R100" s="47">
        <f>Português!R100</f>
        <v>51887</v>
      </c>
      <c r="S100" s="47">
        <f>Português!S100</f>
        <v>42048</v>
      </c>
      <c r="T100" s="47">
        <f>Português!T100</f>
        <v>41938</v>
      </c>
      <c r="U100" s="47">
        <f>Português!U100</f>
        <v>76980</v>
      </c>
      <c r="V100" s="47">
        <f>Português!V100</f>
        <v>0</v>
      </c>
      <c r="W100" s="47">
        <f>Português!W100</f>
        <v>0</v>
      </c>
      <c r="X100" s="47">
        <f>Português!X100</f>
        <v>0</v>
      </c>
      <c r="Y100" s="47">
        <f>Português!Y100</f>
        <v>0</v>
      </c>
      <c r="Z100" s="47">
        <f>Português!Z100</f>
        <v>0</v>
      </c>
      <c r="AA100" s="47">
        <f>Português!AA100</f>
        <v>0</v>
      </c>
      <c r="AB100" s="47">
        <f>Português!AB100</f>
        <v>0</v>
      </c>
      <c r="AC100" s="47">
        <f>Português!AC100</f>
        <v>0</v>
      </c>
      <c r="AD100" s="47">
        <f>Português!AD100</f>
        <v>0</v>
      </c>
      <c r="AE100" s="47">
        <f>Português!AE100</f>
        <v>0</v>
      </c>
      <c r="AF100" s="47">
        <f>Português!AF100</f>
        <v>0</v>
      </c>
      <c r="AG100" s="47">
        <v>0</v>
      </c>
      <c r="AH100" s="47">
        <v>0</v>
      </c>
      <c r="AK100" s="1">
        <v>0</v>
      </c>
      <c r="AL100" s="50">
        <v>0</v>
      </c>
      <c r="AM100" s="50">
        <v>0</v>
      </c>
    </row>
    <row r="101" spans="2:39">
      <c r="B101" s="32" t="s">
        <v>130</v>
      </c>
      <c r="D101" s="47">
        <f>Português!D101</f>
        <v>14456</v>
      </c>
      <c r="E101" s="47">
        <f>Português!E101</f>
        <v>25065</v>
      </c>
      <c r="F101" s="47">
        <f>Português!F101</f>
        <v>27651</v>
      </c>
      <c r="G101" s="47">
        <f>Português!G101</f>
        <v>36649</v>
      </c>
      <c r="H101" s="47">
        <f>Português!H101</f>
        <v>56071</v>
      </c>
      <c r="I101" s="47">
        <f>Português!I101</f>
        <v>48138</v>
      </c>
      <c r="J101" s="47">
        <v>51177</v>
      </c>
      <c r="K101" s="47">
        <v>60666</v>
      </c>
      <c r="L101" s="47">
        <v>61392</v>
      </c>
      <c r="M101" s="48"/>
      <c r="N101" s="47">
        <f>Português!N101</f>
        <v>25765</v>
      </c>
      <c r="O101" s="47">
        <f>Português!O101</f>
        <v>26223</v>
      </c>
      <c r="P101" s="47">
        <f>Português!P101</f>
        <v>27041</v>
      </c>
      <c r="Q101" s="47">
        <f>Português!Q101</f>
        <v>27651</v>
      </c>
      <c r="R101" s="47">
        <f>Português!R101</f>
        <v>28350</v>
      </c>
      <c r="S101" s="47">
        <f>Português!S101</f>
        <v>29348</v>
      </c>
      <c r="T101" s="47">
        <f>Português!T101</f>
        <v>31032</v>
      </c>
      <c r="U101" s="47">
        <f>Português!U101</f>
        <v>36649</v>
      </c>
      <c r="V101" s="47">
        <f>Português!V101</f>
        <v>40930</v>
      </c>
      <c r="W101" s="47">
        <f>Português!W101</f>
        <v>45376.180999999997</v>
      </c>
      <c r="X101" s="47">
        <f>Português!X101</f>
        <v>51271</v>
      </c>
      <c r="Y101" s="47">
        <f>Português!Y101</f>
        <v>56071</v>
      </c>
      <c r="Z101" s="47">
        <f>Português!Z101</f>
        <v>61005</v>
      </c>
      <c r="AA101" s="47">
        <f>Português!AA101</f>
        <v>64704</v>
      </c>
      <c r="AB101" s="47">
        <f>Português!AB101</f>
        <v>68260</v>
      </c>
      <c r="AC101" s="47">
        <f>Português!AC101</f>
        <v>48138</v>
      </c>
      <c r="AD101" s="47">
        <f>Português!AD101</f>
        <v>49470</v>
      </c>
      <c r="AE101" s="47">
        <f>Português!AE101</f>
        <v>47292</v>
      </c>
      <c r="AF101" s="47">
        <f>Português!AF101</f>
        <v>50192</v>
      </c>
      <c r="AG101" s="47">
        <v>51177</v>
      </c>
      <c r="AH101" s="47">
        <v>53456</v>
      </c>
      <c r="AI101" s="47">
        <v>53881</v>
      </c>
      <c r="AJ101" s="47">
        <v>57390</v>
      </c>
      <c r="AK101" s="47">
        <v>60666</v>
      </c>
      <c r="AL101" s="47">
        <v>61392</v>
      </c>
      <c r="AM101" s="47">
        <v>63906</v>
      </c>
    </row>
    <row r="102" spans="2:39">
      <c r="B102" s="32" t="s">
        <v>131</v>
      </c>
      <c r="D102" s="47">
        <f>Português!D102</f>
        <v>5556</v>
      </c>
      <c r="E102" s="47">
        <f>Português!E102</f>
        <v>12287</v>
      </c>
      <c r="F102" s="47">
        <f>Português!F102</f>
        <v>49782</v>
      </c>
      <c r="G102" s="47">
        <f>Português!G102</f>
        <v>76171</v>
      </c>
      <c r="H102" s="47">
        <f>Português!H102</f>
        <v>69551</v>
      </c>
      <c r="I102" s="47">
        <f>Português!I102</f>
        <v>58127</v>
      </c>
      <c r="J102" s="47">
        <v>229929</v>
      </c>
      <c r="K102" s="47">
        <v>234266</v>
      </c>
      <c r="L102" s="47">
        <v>233511</v>
      </c>
      <c r="M102" s="48"/>
      <c r="N102" s="47">
        <f>Português!N102</f>
        <v>14715</v>
      </c>
      <c r="O102" s="47">
        <f>Português!O102</f>
        <v>16742</v>
      </c>
      <c r="P102" s="47">
        <f>Português!P102</f>
        <v>11487</v>
      </c>
      <c r="Q102" s="47">
        <f>Português!Q102</f>
        <v>49782</v>
      </c>
      <c r="R102" s="47">
        <f>Português!R102</f>
        <v>55350</v>
      </c>
      <c r="S102" s="47">
        <f>Português!S102</f>
        <v>63791</v>
      </c>
      <c r="T102" s="47">
        <f>Português!T102</f>
        <v>69627</v>
      </c>
      <c r="U102" s="47">
        <f>Português!U102</f>
        <v>76171</v>
      </c>
      <c r="V102" s="47">
        <f>Português!V102</f>
        <v>85318</v>
      </c>
      <c r="W102" s="47">
        <f>Português!W102</f>
        <v>78830.990999999995</v>
      </c>
      <c r="X102" s="47">
        <f>Português!X102</f>
        <v>76409</v>
      </c>
      <c r="Y102" s="47">
        <f>Português!Y102</f>
        <v>69551</v>
      </c>
      <c r="Z102" s="47">
        <f>Português!Z102</f>
        <v>60651</v>
      </c>
      <c r="AA102" s="47">
        <f>Português!AA102</f>
        <v>47625</v>
      </c>
      <c r="AB102" s="47">
        <f>Português!AB102</f>
        <v>48705</v>
      </c>
      <c r="AC102" s="47">
        <f>Português!AC102</f>
        <v>58127</v>
      </c>
      <c r="AD102" s="47">
        <f>Português!AD102</f>
        <v>62226</v>
      </c>
      <c r="AE102" s="47">
        <f>Português!AE102</f>
        <v>263872</v>
      </c>
      <c r="AF102" s="47">
        <f>Português!AF102</f>
        <v>231274</v>
      </c>
      <c r="AG102" s="47">
        <v>229929</v>
      </c>
      <c r="AH102" s="47">
        <v>225364</v>
      </c>
      <c r="AI102" s="47">
        <v>224820</v>
      </c>
      <c r="AJ102" s="47">
        <v>231401</v>
      </c>
      <c r="AK102" s="47">
        <v>234266</v>
      </c>
      <c r="AL102" s="47">
        <v>233511</v>
      </c>
      <c r="AM102" s="47">
        <v>235189</v>
      </c>
    </row>
    <row r="103" spans="2:39">
      <c r="B103" s="32" t="s">
        <v>126</v>
      </c>
      <c r="D103" s="47"/>
      <c r="E103" s="47"/>
      <c r="F103" s="47"/>
      <c r="G103" s="47"/>
      <c r="H103" s="47"/>
      <c r="I103" s="47">
        <f>Português!I103</f>
        <v>9800</v>
      </c>
      <c r="J103" s="47">
        <v>0</v>
      </c>
      <c r="K103" s="47">
        <v>0</v>
      </c>
      <c r="L103" s="47"/>
      <c r="M103" s="48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>
        <f>Português!AC103</f>
        <v>9800</v>
      </c>
      <c r="AD103" s="47">
        <f>Português!AD103</f>
        <v>4678</v>
      </c>
      <c r="AE103" s="47">
        <f>Português!AE103</f>
        <v>0</v>
      </c>
      <c r="AF103" s="47">
        <f>Português!AF103</f>
        <v>0</v>
      </c>
      <c r="AG103" s="47">
        <v>0</v>
      </c>
      <c r="AH103" s="47">
        <v>0</v>
      </c>
      <c r="AI103" s="47">
        <v>0</v>
      </c>
      <c r="AJ103" s="47"/>
      <c r="AK103" s="47">
        <v>0</v>
      </c>
      <c r="AL103" s="47"/>
      <c r="AM103" s="47">
        <v>0</v>
      </c>
    </row>
    <row r="104" spans="2:39">
      <c r="B104" s="16" t="s">
        <v>186</v>
      </c>
      <c r="D104" s="47">
        <f>Português!D104</f>
        <v>35</v>
      </c>
      <c r="E104" s="47">
        <f>Português!E104</f>
        <v>35</v>
      </c>
      <c r="F104" s="47">
        <f>Português!F104</f>
        <v>35</v>
      </c>
      <c r="G104" s="47">
        <f>Português!G104</f>
        <v>40144</v>
      </c>
      <c r="H104" s="47">
        <f>Português!H104</f>
        <v>43626</v>
      </c>
      <c r="I104" s="47">
        <f>Português!I104</f>
        <v>18812</v>
      </c>
      <c r="J104" s="47">
        <v>14332</v>
      </c>
      <c r="K104" s="47">
        <v>11506</v>
      </c>
      <c r="L104" s="47">
        <v>10978</v>
      </c>
      <c r="M104" s="48"/>
      <c r="N104" s="47">
        <f>Português!N104</f>
        <v>35</v>
      </c>
      <c r="O104" s="47">
        <f>Português!O104</f>
        <v>35</v>
      </c>
      <c r="P104" s="47">
        <f>Português!P104</f>
        <v>35</v>
      </c>
      <c r="Q104" s="47">
        <f>Português!Q104</f>
        <v>35</v>
      </c>
      <c r="R104" s="47">
        <f>Português!R104</f>
        <v>35</v>
      </c>
      <c r="S104" s="47">
        <f>Português!S104</f>
        <v>35</v>
      </c>
      <c r="T104" s="47">
        <f>Português!T104</f>
        <v>35</v>
      </c>
      <c r="U104" s="47">
        <f>Português!U104</f>
        <v>40144</v>
      </c>
      <c r="V104" s="47">
        <f>Português!V104</f>
        <v>40950</v>
      </c>
      <c r="W104" s="47">
        <f>Português!W104</f>
        <v>44212.442209999776</v>
      </c>
      <c r="X104" s="47">
        <f>Português!X104</f>
        <v>45380</v>
      </c>
      <c r="Y104" s="47">
        <f>Português!Y104</f>
        <v>43626</v>
      </c>
      <c r="Z104" s="47">
        <f>Português!Z104</f>
        <v>45584</v>
      </c>
      <c r="AA104" s="47">
        <f>Português!AA104</f>
        <v>18757</v>
      </c>
      <c r="AB104" s="47">
        <f>Português!AB104</f>
        <v>18867</v>
      </c>
      <c r="AC104" s="47">
        <f>Português!AC104</f>
        <v>18812</v>
      </c>
      <c r="AD104" s="47">
        <f>Português!AD104</f>
        <v>18481</v>
      </c>
      <c r="AE104" s="47">
        <f>Português!AE104</f>
        <v>16820</v>
      </c>
      <c r="AF104" s="47">
        <f>Português!AF104</f>
        <v>15773</v>
      </c>
      <c r="AG104" s="47">
        <v>14332</v>
      </c>
      <c r="AH104" s="47">
        <v>12393</v>
      </c>
      <c r="AI104" s="47">
        <v>12174</v>
      </c>
      <c r="AJ104" s="47">
        <v>11837</v>
      </c>
      <c r="AK104" s="47">
        <v>11506</v>
      </c>
      <c r="AL104" s="47">
        <v>10978</v>
      </c>
      <c r="AM104" s="47">
        <v>10879</v>
      </c>
    </row>
    <row r="105" spans="2:39">
      <c r="B105" s="32" t="s">
        <v>132</v>
      </c>
      <c r="D105" s="47">
        <f>Português!D105</f>
        <v>64602</v>
      </c>
      <c r="E105" s="47">
        <f>Português!E105</f>
        <v>63772</v>
      </c>
      <c r="F105" s="47">
        <f>Português!F105</f>
        <v>0</v>
      </c>
      <c r="G105" s="47">
        <f>Português!G105</f>
        <v>0</v>
      </c>
      <c r="H105" s="47">
        <f>Português!H105</f>
        <v>0</v>
      </c>
      <c r="I105" s="47">
        <f>Português!I105</f>
        <v>0</v>
      </c>
      <c r="J105" s="47">
        <v>0</v>
      </c>
      <c r="K105" s="47">
        <v>0</v>
      </c>
      <c r="M105" s="48"/>
      <c r="N105" s="47">
        <f>Português!N105</f>
        <v>63564</v>
      </c>
      <c r="O105" s="47">
        <f>Português!O105</f>
        <v>63355</v>
      </c>
      <c r="P105" s="47">
        <f>Português!P105</f>
        <v>63149</v>
      </c>
      <c r="Q105" s="47">
        <f>Português!Q105</f>
        <v>0</v>
      </c>
      <c r="R105" s="47">
        <f>Português!R105</f>
        <v>0</v>
      </c>
      <c r="S105" s="47">
        <f>Português!S105</f>
        <v>0</v>
      </c>
      <c r="T105" s="47">
        <f>Português!T105</f>
        <v>0</v>
      </c>
      <c r="U105" s="47">
        <f>Português!U105</f>
        <v>0</v>
      </c>
      <c r="V105" s="47">
        <f>Português!V105</f>
        <v>0</v>
      </c>
      <c r="W105" s="47">
        <f>Português!W105</f>
        <v>0</v>
      </c>
      <c r="X105" s="47">
        <f>Português!X105</f>
        <v>0</v>
      </c>
      <c r="Y105" s="47">
        <f>Português!Y105</f>
        <v>0</v>
      </c>
      <c r="Z105" s="47">
        <f>Português!Z105</f>
        <v>0</v>
      </c>
      <c r="AA105" s="47">
        <f>Português!AA105</f>
        <v>0</v>
      </c>
      <c r="AB105" s="47">
        <f>Português!AB105</f>
        <v>0</v>
      </c>
      <c r="AC105" s="47">
        <f>Português!AC105</f>
        <v>0</v>
      </c>
      <c r="AD105" s="47">
        <f>Português!AD105</f>
        <v>0</v>
      </c>
      <c r="AE105" s="47">
        <f>Português!AE105</f>
        <v>0</v>
      </c>
      <c r="AF105" s="47">
        <f>Português!AF105</f>
        <v>0</v>
      </c>
      <c r="AG105" s="47">
        <v>0</v>
      </c>
      <c r="AH105" s="47">
        <v>0</v>
      </c>
      <c r="AI105" s="1">
        <v>0</v>
      </c>
      <c r="AK105" s="1">
        <v>0</v>
      </c>
      <c r="AM105" s="1">
        <v>0</v>
      </c>
    </row>
    <row r="106" spans="2:39">
      <c r="B106" s="32" t="s">
        <v>227</v>
      </c>
      <c r="D106" s="47">
        <f>Português!D106</f>
        <v>0</v>
      </c>
      <c r="E106" s="47">
        <f>Português!E106</f>
        <v>3091</v>
      </c>
      <c r="F106" s="47">
        <f>Português!F106</f>
        <v>400435</v>
      </c>
      <c r="G106" s="47">
        <f>Português!G106</f>
        <v>548519</v>
      </c>
      <c r="H106" s="47">
        <f>Português!H106</f>
        <v>719828</v>
      </c>
      <c r="I106" s="47">
        <f>Português!I106</f>
        <v>753232</v>
      </c>
      <c r="J106" s="47">
        <v>656637</v>
      </c>
      <c r="K106" s="47">
        <v>665852</v>
      </c>
      <c r="L106" s="47">
        <v>680173</v>
      </c>
      <c r="M106" s="48"/>
      <c r="N106" s="47">
        <f>Português!N106</f>
        <v>7123</v>
      </c>
      <c r="O106" s="47">
        <f>Português!O106</f>
        <v>6363</v>
      </c>
      <c r="P106" s="47">
        <f>Português!P106</f>
        <v>5604</v>
      </c>
      <c r="Q106" s="47">
        <f>Português!Q106</f>
        <v>400435</v>
      </c>
      <c r="R106" s="47">
        <f>Português!R106</f>
        <v>396376</v>
      </c>
      <c r="S106" s="47">
        <f>Português!S106</f>
        <v>392320</v>
      </c>
      <c r="T106" s="47">
        <f>Português!T106</f>
        <v>388264</v>
      </c>
      <c r="U106" s="47">
        <f>Português!U106</f>
        <v>548519</v>
      </c>
      <c r="V106" s="47">
        <f>Português!V106</f>
        <v>584361</v>
      </c>
      <c r="W106" s="47">
        <f>Português!W106</f>
        <v>718163.57700000005</v>
      </c>
      <c r="X106" s="47">
        <f>Português!X106</f>
        <v>710652</v>
      </c>
      <c r="Y106" s="47">
        <f>Português!Y106</f>
        <v>719828</v>
      </c>
      <c r="Z106" s="47">
        <f>Português!Z106</f>
        <v>770062</v>
      </c>
      <c r="AA106" s="47">
        <f>Português!AA106</f>
        <v>767511</v>
      </c>
      <c r="AB106" s="47">
        <f>Português!AB106</f>
        <v>759846</v>
      </c>
      <c r="AC106" s="47">
        <f>Português!AC106</f>
        <v>753232</v>
      </c>
      <c r="AD106" s="47">
        <f>Português!AD106</f>
        <v>775593</v>
      </c>
      <c r="AE106" s="47">
        <f>Português!AE106</f>
        <v>595457</v>
      </c>
      <c r="AF106" s="47">
        <f>Português!AF106</f>
        <v>662899</v>
      </c>
      <c r="AG106" s="47">
        <v>656637</v>
      </c>
      <c r="AH106" s="47">
        <v>674020</v>
      </c>
      <c r="AI106" s="47">
        <v>676384</v>
      </c>
      <c r="AJ106" s="47">
        <v>675117</v>
      </c>
      <c r="AK106" s="47">
        <v>665852</v>
      </c>
      <c r="AL106" s="47">
        <v>680173</v>
      </c>
      <c r="AM106" s="47">
        <v>680152</v>
      </c>
    </row>
    <row r="107" spans="2:39">
      <c r="B107" s="16" t="s">
        <v>240</v>
      </c>
      <c r="D107" s="47">
        <f>Português!D107</f>
        <v>645255</v>
      </c>
      <c r="E107" s="47">
        <f>Português!E107</f>
        <v>697849</v>
      </c>
      <c r="F107" s="47">
        <f>Português!F107</f>
        <v>95640</v>
      </c>
      <c r="G107" s="47">
        <f>Português!G107</f>
        <v>249977</v>
      </c>
      <c r="H107" s="47">
        <f>Português!H107</f>
        <v>666011</v>
      </c>
      <c r="I107" s="47">
        <f>Português!I107</f>
        <v>764594</v>
      </c>
      <c r="J107" s="47">
        <v>840594</v>
      </c>
      <c r="K107" s="47">
        <v>811604</v>
      </c>
      <c r="L107" s="47">
        <v>793001</v>
      </c>
      <c r="M107" s="48"/>
      <c r="N107" s="47">
        <f>Português!N107</f>
        <v>703917</v>
      </c>
      <c r="O107" s="47">
        <f>Português!O107</f>
        <v>704942</v>
      </c>
      <c r="P107" s="47">
        <f>Português!P107</f>
        <v>714406</v>
      </c>
      <c r="Q107" s="47">
        <f>Português!Q107</f>
        <v>95640</v>
      </c>
      <c r="R107" s="47">
        <f>Português!R107</f>
        <v>101059</v>
      </c>
      <c r="S107" s="47">
        <f>Português!S107</f>
        <v>104520</v>
      </c>
      <c r="T107" s="47">
        <f>Português!T107</f>
        <v>156430</v>
      </c>
      <c r="U107" s="47">
        <f>Português!U107</f>
        <v>249977</v>
      </c>
      <c r="V107" s="47">
        <f>Português!V107</f>
        <v>424369</v>
      </c>
      <c r="W107" s="47">
        <f>Português!W107</f>
        <v>471319.63348000002</v>
      </c>
      <c r="X107" s="47">
        <f>Português!X107</f>
        <v>513841</v>
      </c>
      <c r="Y107" s="47">
        <f>Português!Y107</f>
        <v>666011</v>
      </c>
      <c r="Z107" s="47">
        <f>Português!Z107</f>
        <v>694394</v>
      </c>
      <c r="AA107" s="47">
        <f>Português!AA107</f>
        <v>708395</v>
      </c>
      <c r="AB107" s="47">
        <f>Português!AB107</f>
        <v>719793</v>
      </c>
      <c r="AC107" s="47">
        <f>Português!AC107</f>
        <v>764594</v>
      </c>
      <c r="AD107" s="47">
        <f>Português!AD107</f>
        <v>811051</v>
      </c>
      <c r="AE107" s="47">
        <f>Português!AE107</f>
        <v>814346</v>
      </c>
      <c r="AF107" s="47">
        <f>Português!AF107</f>
        <v>835309</v>
      </c>
      <c r="AG107" s="47">
        <v>840594</v>
      </c>
      <c r="AH107" s="47">
        <v>832274</v>
      </c>
      <c r="AI107" s="47">
        <v>816386</v>
      </c>
      <c r="AJ107" s="47">
        <v>814564</v>
      </c>
      <c r="AK107" s="47">
        <v>811604</v>
      </c>
      <c r="AL107" s="47">
        <v>793001</v>
      </c>
      <c r="AM107" s="47">
        <v>797835</v>
      </c>
    </row>
    <row r="108" spans="2:39">
      <c r="B108" s="16" t="s">
        <v>187</v>
      </c>
      <c r="D108" s="47">
        <f>Português!D108</f>
        <v>6593</v>
      </c>
      <c r="E108" s="47">
        <f>Português!E108</f>
        <v>5148</v>
      </c>
      <c r="F108" s="47">
        <f>Português!F108</f>
        <v>2894</v>
      </c>
      <c r="G108" s="47">
        <f>Português!G108</f>
        <v>1177727</v>
      </c>
      <c r="H108" s="47">
        <f>Português!H108</f>
        <v>1844301</v>
      </c>
      <c r="I108" s="47">
        <f>Português!I108</f>
        <v>1853209</v>
      </c>
      <c r="J108" s="47">
        <v>730289</v>
      </c>
      <c r="K108" s="47">
        <v>730498</v>
      </c>
      <c r="L108" s="47">
        <v>730070</v>
      </c>
      <c r="M108" s="48"/>
      <c r="N108" s="47">
        <f>Português!N108</f>
        <v>4717</v>
      </c>
      <c r="O108" s="47">
        <f>Português!O108</f>
        <v>4273</v>
      </c>
      <c r="P108" s="47">
        <f>Português!P108</f>
        <v>4235</v>
      </c>
      <c r="Q108" s="47">
        <f>Português!Q108</f>
        <v>2894</v>
      </c>
      <c r="R108" s="47">
        <f>Português!R108</f>
        <v>2989</v>
      </c>
      <c r="S108" s="47">
        <f>Português!S108</f>
        <v>5174</v>
      </c>
      <c r="T108" s="47">
        <f>Português!T108</f>
        <v>7709</v>
      </c>
      <c r="U108" s="47">
        <f>Português!U108</f>
        <v>1177727</v>
      </c>
      <c r="V108" s="47">
        <f>Português!V108</f>
        <v>1645423</v>
      </c>
      <c r="W108" s="47">
        <f>Português!W108</f>
        <v>1800030.8090000001</v>
      </c>
      <c r="X108" s="47">
        <f>Português!X108</f>
        <v>1953524</v>
      </c>
      <c r="Y108" s="47">
        <f>Português!Y108</f>
        <v>1844301</v>
      </c>
      <c r="Z108" s="47">
        <f>Português!Z108</f>
        <v>1844124</v>
      </c>
      <c r="AA108" s="47">
        <f>Português!AA108</f>
        <v>1847933</v>
      </c>
      <c r="AB108" s="47">
        <f>Português!AB108</f>
        <v>1851174</v>
      </c>
      <c r="AC108" s="47">
        <f>Português!AC108</f>
        <v>1853209</v>
      </c>
      <c r="AD108" s="47">
        <f>Português!AD108</f>
        <v>1853647</v>
      </c>
      <c r="AE108" s="47">
        <f>Português!AE108</f>
        <v>728259</v>
      </c>
      <c r="AF108" s="47">
        <f>Português!AF108</f>
        <v>728753</v>
      </c>
      <c r="AG108" s="47">
        <v>730289</v>
      </c>
      <c r="AH108" s="47">
        <v>729901</v>
      </c>
      <c r="AI108" s="47">
        <v>731672</v>
      </c>
      <c r="AJ108" s="47">
        <v>730981</v>
      </c>
      <c r="AK108" s="47">
        <v>730498</v>
      </c>
      <c r="AL108" s="47">
        <v>730070</v>
      </c>
      <c r="AM108" s="47">
        <v>729605</v>
      </c>
    </row>
    <row r="109" spans="2:39">
      <c r="B109" s="16" t="s">
        <v>333</v>
      </c>
      <c r="D109" s="47">
        <f>Português!D109</f>
        <v>0</v>
      </c>
      <c r="E109" s="47">
        <f>Português!E109</f>
        <v>0</v>
      </c>
      <c r="F109" s="47">
        <f>Português!F109</f>
        <v>0</v>
      </c>
      <c r="G109" s="47">
        <f>Português!G109</f>
        <v>0</v>
      </c>
      <c r="H109" s="47">
        <f>Português!H109</f>
        <v>93787</v>
      </c>
      <c r="I109" s="47">
        <f>Português!I109</f>
        <v>102224</v>
      </c>
      <c r="J109" s="47">
        <v>50690</v>
      </c>
      <c r="K109" s="47">
        <v>45236</v>
      </c>
      <c r="L109" s="47">
        <v>49419</v>
      </c>
      <c r="M109" s="48"/>
      <c r="N109" s="47">
        <f>Português!N109</f>
        <v>0</v>
      </c>
      <c r="O109" s="47">
        <f>Português!O109</f>
        <v>0</v>
      </c>
      <c r="P109" s="47">
        <f>Português!P109</f>
        <v>0</v>
      </c>
      <c r="Q109" s="47">
        <f>Português!Q109</f>
        <v>0</v>
      </c>
      <c r="R109" s="47">
        <f>Português!R109</f>
        <v>0</v>
      </c>
      <c r="S109" s="47">
        <f>Português!S109</f>
        <v>0</v>
      </c>
      <c r="T109" s="47">
        <f>Português!T109</f>
        <v>0</v>
      </c>
      <c r="U109" s="47">
        <f>Português!U109</f>
        <v>0</v>
      </c>
      <c r="V109" s="47">
        <f>Português!V109</f>
        <v>0</v>
      </c>
      <c r="W109" s="47">
        <f>Português!W109</f>
        <v>0</v>
      </c>
      <c r="X109" s="47">
        <f>Português!X109</f>
        <v>0</v>
      </c>
      <c r="Y109" s="47">
        <f>Português!Y109</f>
        <v>93787</v>
      </c>
      <c r="Z109" s="47">
        <f>Português!Z109</f>
        <v>95468</v>
      </c>
      <c r="AA109" s="47">
        <f>Português!AA109</f>
        <v>96314</v>
      </c>
      <c r="AB109" s="47">
        <f>Português!AB109</f>
        <v>95210</v>
      </c>
      <c r="AC109" s="47">
        <f>Português!AC109</f>
        <v>102224</v>
      </c>
      <c r="AD109" s="47">
        <f>Português!AD109</f>
        <v>100276</v>
      </c>
      <c r="AE109" s="47">
        <f>Português!AE109</f>
        <v>51160</v>
      </c>
      <c r="AF109" s="47">
        <f>Português!AF109</f>
        <v>49766</v>
      </c>
      <c r="AG109" s="47">
        <v>50690</v>
      </c>
      <c r="AH109" s="47">
        <v>48954</v>
      </c>
      <c r="AI109" s="47">
        <v>49273</v>
      </c>
      <c r="AJ109" s="47">
        <v>49781</v>
      </c>
      <c r="AK109" s="47">
        <v>45236</v>
      </c>
      <c r="AL109" s="47">
        <v>59390</v>
      </c>
      <c r="AM109" s="47">
        <v>59457</v>
      </c>
    </row>
    <row r="110" spans="2:39">
      <c r="B110" s="33" t="s">
        <v>133</v>
      </c>
      <c r="D110" s="51">
        <f t="shared" ref="D110:G110" si="246">SUM(D99:D109)</f>
        <v>736497</v>
      </c>
      <c r="E110" s="51">
        <f t="shared" si="246"/>
        <v>807247</v>
      </c>
      <c r="F110" s="51">
        <f t="shared" si="246"/>
        <v>628659</v>
      </c>
      <c r="G110" s="51">
        <f t="shared" si="246"/>
        <v>2341067</v>
      </c>
      <c r="H110" s="51">
        <f>SUM(H99:H109)</f>
        <v>3773016</v>
      </c>
      <c r="I110" s="51">
        <f>Português!I110</f>
        <v>3913278</v>
      </c>
      <c r="J110" s="51">
        <v>2863150</v>
      </c>
      <c r="K110" s="51">
        <v>2818796</v>
      </c>
      <c r="L110" s="51">
        <v>2809594</v>
      </c>
      <c r="M110" s="48"/>
      <c r="N110" s="51">
        <f t="shared" ref="N110" si="247">SUM(N99:N108)</f>
        <v>819836</v>
      </c>
      <c r="O110" s="51">
        <f t="shared" ref="O110:P110" si="248">SUM(O99:O108)</f>
        <v>821933</v>
      </c>
      <c r="P110" s="51">
        <f t="shared" si="248"/>
        <v>825957</v>
      </c>
      <c r="Q110" s="51">
        <f t="shared" ref="Q110" si="249">SUM(Q99:Q108)</f>
        <v>628659</v>
      </c>
      <c r="R110" s="51">
        <f t="shared" ref="R110" si="250">SUM(R99:R109)</f>
        <v>636046</v>
      </c>
      <c r="S110" s="51">
        <f t="shared" ref="S110" si="251">SUM(S99:S109)</f>
        <v>677553</v>
      </c>
      <c r="T110" s="51">
        <f t="shared" ref="T110" si="252">SUM(T99:T109)</f>
        <v>791456</v>
      </c>
      <c r="U110" s="51">
        <f t="shared" ref="U110" si="253">SUM(U99:U109)</f>
        <v>2341067</v>
      </c>
      <c r="V110" s="51">
        <f t="shared" ref="V110" si="254">SUM(V99:V109)</f>
        <v>3062173</v>
      </c>
      <c r="W110" s="51">
        <f t="shared" ref="W110" si="255">SUM(W99:W109)</f>
        <v>3416920.63369</v>
      </c>
      <c r="X110" s="51">
        <f t="shared" ref="X110" si="256">SUM(X99:X109)</f>
        <v>3614274</v>
      </c>
      <c r="Y110" s="51">
        <f t="shared" ref="Y110:Z110" si="257">SUM(Y99:Y109)</f>
        <v>3773016</v>
      </c>
      <c r="Z110" s="51">
        <f t="shared" si="257"/>
        <v>3865134</v>
      </c>
      <c r="AA110" s="51">
        <f t="shared" ref="AA110:AB110" si="258">SUM(AA99:AA109)</f>
        <v>3852861</v>
      </c>
      <c r="AB110" s="51">
        <f t="shared" si="258"/>
        <v>3863477</v>
      </c>
      <c r="AC110" s="51">
        <f>Português!AC110</f>
        <v>3913278</v>
      </c>
      <c r="AD110" s="51">
        <f>Português!AD110</f>
        <v>3977504</v>
      </c>
      <c r="AE110" s="51">
        <f>Português!AE110</f>
        <v>2814982</v>
      </c>
      <c r="AF110" s="51">
        <f>Português!AF110</f>
        <v>2869065</v>
      </c>
      <c r="AG110" s="51">
        <v>2863150</v>
      </c>
      <c r="AH110" s="51">
        <v>2858512</v>
      </c>
      <c r="AI110" s="51">
        <v>2839153</v>
      </c>
      <c r="AJ110" s="51">
        <v>2838008</v>
      </c>
      <c r="AK110" s="51">
        <v>2818796</v>
      </c>
      <c r="AL110" s="51">
        <v>2819565</v>
      </c>
      <c r="AM110" s="51">
        <v>2819726</v>
      </c>
    </row>
    <row r="111" spans="2:39">
      <c r="B111" s="34" t="s">
        <v>134</v>
      </c>
      <c r="D111" s="51">
        <f t="shared" ref="D111:H111" si="259">D97+D110</f>
        <v>1198346</v>
      </c>
      <c r="E111" s="51">
        <f t="shared" si="259"/>
        <v>1320307</v>
      </c>
      <c r="F111" s="51">
        <f t="shared" si="259"/>
        <v>1183929</v>
      </c>
      <c r="G111" s="51">
        <f t="shared" si="259"/>
        <v>4090778</v>
      </c>
      <c r="H111" s="51">
        <f t="shared" si="259"/>
        <v>4933164</v>
      </c>
      <c r="I111" s="51">
        <f>Português!I111</f>
        <v>5171451</v>
      </c>
      <c r="J111" s="51">
        <v>4340852</v>
      </c>
      <c r="K111" s="51">
        <v>4312889</v>
      </c>
      <c r="L111" s="51">
        <v>4324999</v>
      </c>
      <c r="M111" s="48"/>
      <c r="N111" s="51">
        <f t="shared" ref="N111:T111" si="260">N97+N110</f>
        <v>1356150.25</v>
      </c>
      <c r="O111" s="51">
        <f t="shared" si="260"/>
        <v>1374225</v>
      </c>
      <c r="P111" s="51">
        <f t="shared" si="260"/>
        <v>1361091</v>
      </c>
      <c r="Q111" s="51">
        <f t="shared" ref="Q111" si="261">Q97+Q110</f>
        <v>1183929</v>
      </c>
      <c r="R111" s="51">
        <f t="shared" si="260"/>
        <v>1195334</v>
      </c>
      <c r="S111" s="51">
        <f t="shared" si="260"/>
        <v>2449311</v>
      </c>
      <c r="T111" s="51">
        <f t="shared" si="260"/>
        <v>2504341</v>
      </c>
      <c r="U111" s="51">
        <f t="shared" ref="U111:V111" si="262">U97+U110</f>
        <v>4090778</v>
      </c>
      <c r="V111" s="51">
        <f t="shared" si="262"/>
        <v>4485932</v>
      </c>
      <c r="W111" s="51">
        <f t="shared" ref="W111" si="263">W97+W110</f>
        <v>4628626.0277500004</v>
      </c>
      <c r="X111" s="51">
        <f t="shared" ref="X111:Y111" si="264">X97+X110</f>
        <v>4823278</v>
      </c>
      <c r="Y111" s="51">
        <f t="shared" si="264"/>
        <v>4933164</v>
      </c>
      <c r="Z111" s="51">
        <f t="shared" ref="Z111:AA111" si="265">Z97+Z110</f>
        <v>5013821</v>
      </c>
      <c r="AA111" s="51">
        <f t="shared" si="265"/>
        <v>5083102</v>
      </c>
      <c r="AB111" s="51">
        <f t="shared" ref="AB111" si="266">AB97+AB110</f>
        <v>5172372</v>
      </c>
      <c r="AC111" s="51">
        <f>Português!AC111</f>
        <v>5171451</v>
      </c>
      <c r="AD111" s="51">
        <f>Português!AD111</f>
        <v>5262841</v>
      </c>
      <c r="AE111" s="51">
        <f>Português!AE111</f>
        <v>4928878</v>
      </c>
      <c r="AF111" s="51">
        <f>Português!AF111</f>
        <v>4413599</v>
      </c>
      <c r="AG111" s="51">
        <v>4340852</v>
      </c>
      <c r="AH111" s="51">
        <v>4377367</v>
      </c>
      <c r="AI111" s="51">
        <v>4338669</v>
      </c>
      <c r="AJ111" s="51">
        <v>4400937</v>
      </c>
      <c r="AK111" s="51">
        <v>4312889</v>
      </c>
      <c r="AL111" s="51">
        <v>4334970</v>
      </c>
      <c r="AM111" s="51">
        <v>4380389</v>
      </c>
    </row>
    <row r="112" spans="2:39">
      <c r="B112" s="30"/>
      <c r="D112" s="46"/>
      <c r="E112" s="46"/>
      <c r="F112" s="46"/>
      <c r="G112" s="46"/>
      <c r="H112" s="46"/>
      <c r="I112" s="46"/>
      <c r="J112" s="46"/>
      <c r="K112" s="46"/>
      <c r="L112" s="46"/>
      <c r="M112" s="48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G112" s="46"/>
      <c r="AH112" s="46"/>
      <c r="AI112" s="46"/>
      <c r="AJ112" s="46"/>
      <c r="AK112" s="46"/>
      <c r="AL112" s="46"/>
      <c r="AM112" s="46"/>
    </row>
    <row r="113" spans="2:39">
      <c r="B113" s="35" t="s">
        <v>135</v>
      </c>
      <c r="D113" s="46"/>
      <c r="E113" s="46"/>
      <c r="F113" s="46"/>
      <c r="G113" s="46"/>
      <c r="H113" s="46"/>
      <c r="I113" s="46"/>
      <c r="J113" s="46"/>
      <c r="K113" s="46"/>
      <c r="L113" s="46"/>
      <c r="M113" s="48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6"/>
      <c r="AL113" s="46"/>
      <c r="AM113" s="46"/>
    </row>
    <row r="114" spans="2:39">
      <c r="B114" s="28" t="s">
        <v>122</v>
      </c>
      <c r="D114" s="46"/>
      <c r="E114" s="46"/>
      <c r="F114" s="46"/>
      <c r="G114" s="46"/>
      <c r="H114" s="46"/>
      <c r="I114" s="46"/>
      <c r="J114" s="46"/>
      <c r="K114" s="46"/>
      <c r="L114" s="46">
        <v>242008</v>
      </c>
      <c r="M114" s="48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  <c r="AL114" s="46"/>
      <c r="AM114" s="46"/>
    </row>
    <row r="115" spans="2:39">
      <c r="B115" s="32" t="s">
        <v>136</v>
      </c>
      <c r="D115" s="47">
        <f>Português!D115</f>
        <v>53295</v>
      </c>
      <c r="E115" s="47">
        <f>Português!E115</f>
        <v>50484</v>
      </c>
      <c r="F115" s="47">
        <f>Português!F115</f>
        <v>57942</v>
      </c>
      <c r="G115" s="47">
        <f>Português!G115</f>
        <v>89206</v>
      </c>
      <c r="H115" s="47">
        <f>Português!H115</f>
        <v>139178</v>
      </c>
      <c r="I115" s="47">
        <f>Português!I115</f>
        <v>148701</v>
      </c>
      <c r="J115" s="47">
        <v>131914</v>
      </c>
      <c r="K115" s="47">
        <v>148566</v>
      </c>
      <c r="L115" s="47">
        <v>146935</v>
      </c>
      <c r="M115" s="48"/>
      <c r="N115" s="47">
        <f>Português!N115</f>
        <v>52459</v>
      </c>
      <c r="O115" s="47">
        <f>Português!O115</f>
        <v>46882</v>
      </c>
      <c r="P115" s="47">
        <f>Português!P115</f>
        <v>43592</v>
      </c>
      <c r="Q115" s="47">
        <f>Português!Q115</f>
        <v>57942</v>
      </c>
      <c r="R115" s="47">
        <f>Português!R115</f>
        <v>66754</v>
      </c>
      <c r="S115" s="47">
        <f>Português!S115</f>
        <v>59773</v>
      </c>
      <c r="T115" s="47">
        <f>Português!T115</f>
        <v>61226</v>
      </c>
      <c r="U115" s="47">
        <f>Português!U115</f>
        <v>89206</v>
      </c>
      <c r="V115" s="47">
        <f>Português!V115</f>
        <v>112772</v>
      </c>
      <c r="W115" s="47">
        <f>Português!W115</f>
        <v>108680.7677</v>
      </c>
      <c r="X115" s="47">
        <f>Português!X115</f>
        <v>126153</v>
      </c>
      <c r="Y115" s="47">
        <f>Português!Y115</f>
        <v>139178</v>
      </c>
      <c r="Z115" s="47">
        <f>Português!Z115</f>
        <v>119297</v>
      </c>
      <c r="AA115" s="47">
        <f>Português!AA115</f>
        <v>122696</v>
      </c>
      <c r="AB115" s="47">
        <f>Português!AB115</f>
        <v>128333</v>
      </c>
      <c r="AC115" s="47">
        <f>Português!AC115</f>
        <v>148701</v>
      </c>
      <c r="AD115" s="47">
        <f>Português!AD115</f>
        <v>160561</v>
      </c>
      <c r="AE115" s="47">
        <f>Português!AE115</f>
        <v>127543</v>
      </c>
      <c r="AF115" s="47">
        <f>Português!AF115</f>
        <v>116705</v>
      </c>
      <c r="AG115" s="47">
        <v>131914</v>
      </c>
      <c r="AH115" s="47">
        <v>137031</v>
      </c>
      <c r="AI115" s="47">
        <v>127990</v>
      </c>
      <c r="AJ115" s="47">
        <v>143809</v>
      </c>
      <c r="AK115" s="47">
        <v>148566</v>
      </c>
      <c r="AL115" s="47">
        <v>146935</v>
      </c>
      <c r="AM115" s="47">
        <v>151841</v>
      </c>
    </row>
    <row r="116" spans="2:39">
      <c r="B116" s="32" t="s">
        <v>285</v>
      </c>
      <c r="D116" s="47">
        <f>Português!D116</f>
        <v>28283</v>
      </c>
      <c r="E116" s="47">
        <f>Português!E116</f>
        <v>33051</v>
      </c>
      <c r="F116" s="47">
        <f>Português!F116</f>
        <v>239467</v>
      </c>
      <c r="G116" s="47">
        <f>Português!G116</f>
        <v>64047</v>
      </c>
      <c r="H116" s="47">
        <f>Português!H116</f>
        <v>52973</v>
      </c>
      <c r="I116" s="47">
        <f>Português!I116</f>
        <v>52205</v>
      </c>
      <c r="J116" s="47">
        <v>75897</v>
      </c>
      <c r="K116" s="47">
        <v>112332</v>
      </c>
      <c r="L116" s="47">
        <v>91935</v>
      </c>
      <c r="M116" s="48"/>
      <c r="N116" s="47">
        <f>Português!N116</f>
        <v>29530</v>
      </c>
      <c r="O116" s="47">
        <f>Português!O116</f>
        <v>41148</v>
      </c>
      <c r="P116" s="47">
        <f>Português!P116</f>
        <v>28182</v>
      </c>
      <c r="Q116" s="47">
        <f>Português!Q116</f>
        <v>239467</v>
      </c>
      <c r="R116" s="47">
        <f>Português!R116</f>
        <v>64863</v>
      </c>
      <c r="S116" s="47">
        <f>Português!S116</f>
        <v>60208</v>
      </c>
      <c r="T116" s="47">
        <f>Português!T116</f>
        <v>65913</v>
      </c>
      <c r="U116" s="47">
        <f>Português!U116</f>
        <v>64047</v>
      </c>
      <c r="V116" s="47">
        <f>Português!V116</f>
        <v>86698</v>
      </c>
      <c r="W116" s="47">
        <f>Português!W116</f>
        <v>69062.216</v>
      </c>
      <c r="X116" s="47">
        <f>Português!X116</f>
        <v>63477</v>
      </c>
      <c r="Y116" s="47">
        <f>Português!Y116</f>
        <v>52973</v>
      </c>
      <c r="Z116" s="47">
        <f>Português!Z116</f>
        <v>90479</v>
      </c>
      <c r="AA116" s="47">
        <f>Português!AA116</f>
        <v>56810</v>
      </c>
      <c r="AB116" s="47">
        <f>Português!AB116</f>
        <v>77414</v>
      </c>
      <c r="AC116" s="47">
        <f>Português!AC116</f>
        <v>52205</v>
      </c>
      <c r="AD116" s="47">
        <f>Português!AD116</f>
        <v>97921</v>
      </c>
      <c r="AE116" s="47">
        <f>Português!AE116</f>
        <v>75837</v>
      </c>
      <c r="AF116" s="47">
        <f>Português!AF116</f>
        <v>99719</v>
      </c>
      <c r="AG116" s="47">
        <v>75897</v>
      </c>
      <c r="AH116" s="47">
        <v>100691</v>
      </c>
      <c r="AI116" s="47">
        <v>76731</v>
      </c>
      <c r="AJ116" s="47">
        <v>89945</v>
      </c>
      <c r="AK116" s="47">
        <v>112332</v>
      </c>
      <c r="AL116" s="47">
        <v>91935</v>
      </c>
      <c r="AM116" s="47">
        <v>111041</v>
      </c>
    </row>
    <row r="117" spans="2:39">
      <c r="B117" s="32" t="s">
        <v>325</v>
      </c>
      <c r="D117" s="47">
        <f>Português!D117</f>
        <v>0</v>
      </c>
      <c r="E117" s="47">
        <f>Português!E117</f>
        <v>0</v>
      </c>
      <c r="F117" s="47">
        <f>Português!F117</f>
        <v>0</v>
      </c>
      <c r="G117" s="47">
        <f>Português!G117</f>
        <v>0</v>
      </c>
      <c r="H117" s="47">
        <f>Português!H117</f>
        <v>0</v>
      </c>
      <c r="I117" s="47">
        <f>Português!I117</f>
        <v>0</v>
      </c>
      <c r="J117" s="47">
        <v>2426</v>
      </c>
      <c r="K117" s="47">
        <v>2599</v>
      </c>
      <c r="L117" s="47">
        <v>2246</v>
      </c>
      <c r="M117" s="48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>
        <f>Português!AE117</f>
        <v>786</v>
      </c>
      <c r="AF117" s="47">
        <f>Português!AF117</f>
        <v>984</v>
      </c>
      <c r="AG117" s="47">
        <v>2426</v>
      </c>
      <c r="AH117" s="47">
        <v>2217</v>
      </c>
      <c r="AI117" s="47">
        <v>2351</v>
      </c>
      <c r="AJ117" s="47">
        <v>2951</v>
      </c>
      <c r="AK117" s="47">
        <v>2599</v>
      </c>
      <c r="AL117" s="47">
        <v>2246</v>
      </c>
      <c r="AM117" s="47">
        <v>3156</v>
      </c>
    </row>
    <row r="118" spans="2:39">
      <c r="B118" s="32" t="s">
        <v>228</v>
      </c>
      <c r="D118" s="47">
        <f>Português!D118</f>
        <v>0</v>
      </c>
      <c r="E118" s="47">
        <f>Português!E118</f>
        <v>1459</v>
      </c>
      <c r="F118" s="47">
        <f>Português!F118</f>
        <v>42243</v>
      </c>
      <c r="G118" s="47">
        <f>Português!G118</f>
        <v>64100</v>
      </c>
      <c r="H118" s="47">
        <f>Português!H118</f>
        <v>76228</v>
      </c>
      <c r="I118" s="47">
        <f>Português!I118</f>
        <v>81228</v>
      </c>
      <c r="J118" s="47">
        <v>66377</v>
      </c>
      <c r="K118" s="47">
        <v>78371</v>
      </c>
      <c r="L118" s="47">
        <v>80641</v>
      </c>
      <c r="M118" s="48"/>
      <c r="N118" s="47">
        <f>Português!N118</f>
        <v>2253</v>
      </c>
      <c r="O118" s="47">
        <f>Português!O118</f>
        <v>1516</v>
      </c>
      <c r="P118" s="47">
        <f>Português!P118</f>
        <v>766</v>
      </c>
      <c r="Q118" s="47">
        <f>Português!Q118</f>
        <v>42243</v>
      </c>
      <c r="R118" s="47">
        <f>Português!R118</f>
        <v>42140</v>
      </c>
      <c r="S118" s="47">
        <f>Português!S118</f>
        <v>43842</v>
      </c>
      <c r="T118" s="47">
        <f>Português!T118</f>
        <v>43317</v>
      </c>
      <c r="U118" s="47">
        <f>Português!U118</f>
        <v>64100</v>
      </c>
      <c r="V118" s="47">
        <f>Português!V118</f>
        <v>67503</v>
      </c>
      <c r="W118" s="47">
        <f>Português!W118</f>
        <v>74957.710000000006</v>
      </c>
      <c r="X118" s="47">
        <f>Português!X118</f>
        <v>76286</v>
      </c>
      <c r="Y118" s="47">
        <f>Português!Y118</f>
        <v>76228</v>
      </c>
      <c r="Z118" s="47">
        <f>Português!Z118</f>
        <v>82135</v>
      </c>
      <c r="AA118" s="47">
        <f>Português!AA118</f>
        <v>81759</v>
      </c>
      <c r="AB118" s="47">
        <f>Português!AB118</f>
        <v>79656</v>
      </c>
      <c r="AC118" s="47">
        <f>Português!AC118</f>
        <v>81228</v>
      </c>
      <c r="AD118" s="47">
        <f>Português!AD118</f>
        <v>83572</v>
      </c>
      <c r="AE118" s="47">
        <f>Português!AE118</f>
        <v>63526</v>
      </c>
      <c r="AF118" s="47">
        <f>Português!AF118</f>
        <v>65654</v>
      </c>
      <c r="AG118" s="47">
        <v>66377</v>
      </c>
      <c r="AH118" s="47">
        <v>69306</v>
      </c>
      <c r="AI118" s="47">
        <v>70547</v>
      </c>
      <c r="AJ118" s="47">
        <v>71533</v>
      </c>
      <c r="AK118" s="47">
        <v>78371</v>
      </c>
      <c r="AL118" s="47">
        <v>80641</v>
      </c>
      <c r="AM118" s="47">
        <v>81544</v>
      </c>
    </row>
    <row r="119" spans="2:39">
      <c r="B119" s="16" t="s">
        <v>137</v>
      </c>
      <c r="D119" s="47">
        <f>Português!D119</f>
        <v>12345</v>
      </c>
      <c r="E119" s="47">
        <f>Português!E119</f>
        <v>14368</v>
      </c>
      <c r="F119" s="47">
        <f>Português!F119</f>
        <v>15967</v>
      </c>
      <c r="G119" s="47">
        <f>Português!G119</f>
        <v>37204</v>
      </c>
      <c r="H119" s="47">
        <f>Português!H119</f>
        <v>70504</v>
      </c>
      <c r="I119" s="47">
        <f>Português!I119</f>
        <v>74904</v>
      </c>
      <c r="J119" s="47">
        <v>57295</v>
      </c>
      <c r="K119" s="47">
        <v>66891</v>
      </c>
      <c r="L119" s="47">
        <v>79935</v>
      </c>
      <c r="M119" s="48"/>
      <c r="N119" s="47">
        <f>Português!N119</f>
        <v>16915</v>
      </c>
      <c r="O119" s="47">
        <f>Português!O119</f>
        <v>23367</v>
      </c>
      <c r="P119" s="47">
        <f>Português!P119</f>
        <v>24545</v>
      </c>
      <c r="Q119" s="47">
        <f>Português!Q119</f>
        <v>15967</v>
      </c>
      <c r="R119" s="47">
        <f>Português!R119</f>
        <v>20433</v>
      </c>
      <c r="S119" s="47">
        <f>Português!S119</f>
        <v>26786</v>
      </c>
      <c r="T119" s="47">
        <f>Português!T119</f>
        <v>31221</v>
      </c>
      <c r="U119" s="47">
        <f>Português!U119</f>
        <v>37204</v>
      </c>
      <c r="V119" s="47">
        <f>Português!V119</f>
        <v>51283</v>
      </c>
      <c r="W119" s="47">
        <f>Português!W119</f>
        <v>63596.459000000003</v>
      </c>
      <c r="X119" s="47">
        <f>Português!X119</f>
        <v>79917</v>
      </c>
      <c r="Y119" s="47">
        <f>Português!Y119</f>
        <v>70504</v>
      </c>
      <c r="Z119" s="47">
        <f>Português!Z119</f>
        <v>78227</v>
      </c>
      <c r="AA119" s="47">
        <f>Português!AA119</f>
        <v>92326</v>
      </c>
      <c r="AB119" s="47">
        <f>Português!AB119</f>
        <v>108397</v>
      </c>
      <c r="AC119" s="47">
        <f>Português!AC119</f>
        <v>74904</v>
      </c>
      <c r="AD119" s="47">
        <f>Português!AD119</f>
        <v>80054</v>
      </c>
      <c r="AE119" s="47">
        <f>Português!AE119</f>
        <v>78274</v>
      </c>
      <c r="AF119" s="47">
        <f>Português!AF119</f>
        <v>82570</v>
      </c>
      <c r="AG119" s="47">
        <v>57295</v>
      </c>
      <c r="AH119" s="47">
        <v>67562</v>
      </c>
      <c r="AI119" s="47">
        <v>79486</v>
      </c>
      <c r="AJ119" s="47">
        <v>90076</v>
      </c>
      <c r="AK119" s="47">
        <v>66891</v>
      </c>
      <c r="AL119" s="47">
        <v>79935</v>
      </c>
      <c r="AM119" s="47">
        <v>77776</v>
      </c>
    </row>
    <row r="120" spans="2:39">
      <c r="B120" s="16" t="s">
        <v>157</v>
      </c>
      <c r="D120" s="47">
        <f>Português!D120</f>
        <v>41471</v>
      </c>
      <c r="E120" s="47">
        <f>Português!E120</f>
        <v>49343</v>
      </c>
      <c r="F120" s="47">
        <f>Português!F120</f>
        <v>35650</v>
      </c>
      <c r="G120" s="47">
        <f>Português!G120</f>
        <v>8820</v>
      </c>
      <c r="H120" s="47">
        <f>Português!H120</f>
        <v>27316</v>
      </c>
      <c r="I120" s="47">
        <f>Português!I120</f>
        <v>37288</v>
      </c>
      <c r="J120" s="47">
        <v>23818</v>
      </c>
      <c r="K120" s="47">
        <v>38519</v>
      </c>
      <c r="L120" s="47">
        <v>43997</v>
      </c>
      <c r="M120" s="48"/>
      <c r="N120" s="47">
        <f>Português!N120</f>
        <v>57265</v>
      </c>
      <c r="O120" s="47">
        <f>Português!O120</f>
        <v>66052</v>
      </c>
      <c r="P120" s="47">
        <f>Português!P120</f>
        <v>40375</v>
      </c>
      <c r="Q120" s="47">
        <f>Português!Q120</f>
        <v>35650</v>
      </c>
      <c r="R120" s="47">
        <f>Português!R120</f>
        <v>22593</v>
      </c>
      <c r="S120" s="47">
        <f>Português!S120</f>
        <v>48674</v>
      </c>
      <c r="T120" s="47">
        <f>Português!T120</f>
        <v>65594</v>
      </c>
      <c r="U120" s="47">
        <f>Português!U120</f>
        <v>8820</v>
      </c>
      <c r="V120" s="47">
        <f>Português!V120</f>
        <v>14064</v>
      </c>
      <c r="W120" s="47">
        <f>Português!W120</f>
        <v>14187.063</v>
      </c>
      <c r="X120" s="47">
        <f>Português!X120</f>
        <v>28359</v>
      </c>
      <c r="Y120" s="47">
        <f>Português!Y120</f>
        <v>27316</v>
      </c>
      <c r="Z120" s="47">
        <f>Português!Z120</f>
        <v>26157</v>
      </c>
      <c r="AA120" s="47">
        <f>Português!AA120</f>
        <v>28321</v>
      </c>
      <c r="AB120" s="47">
        <f>Português!AB120</f>
        <v>39986</v>
      </c>
      <c r="AC120" s="47">
        <f>Português!AC120</f>
        <v>37288</v>
      </c>
      <c r="AD120" s="47">
        <f>Português!AD120</f>
        <v>37836</v>
      </c>
      <c r="AE120" s="47">
        <f>Português!AE120</f>
        <v>16865</v>
      </c>
      <c r="AF120" s="47">
        <f>Português!AF120</f>
        <v>18890</v>
      </c>
      <c r="AG120" s="47">
        <v>23818</v>
      </c>
      <c r="AH120" s="47">
        <v>27702</v>
      </c>
      <c r="AI120" s="47">
        <v>31713</v>
      </c>
      <c r="AJ120" s="47">
        <v>39939</v>
      </c>
      <c r="AK120" s="47">
        <v>38519</v>
      </c>
      <c r="AL120" s="47">
        <v>43997</v>
      </c>
      <c r="AM120" s="47">
        <v>40255</v>
      </c>
    </row>
    <row r="121" spans="2:39">
      <c r="B121" s="16" t="s">
        <v>138</v>
      </c>
      <c r="D121" s="47">
        <f>Português!D121</f>
        <v>0</v>
      </c>
      <c r="E121" s="47">
        <f>Português!E121</f>
        <v>0</v>
      </c>
      <c r="F121" s="47">
        <f>Português!F121</f>
        <v>7455</v>
      </c>
      <c r="G121" s="47">
        <f>Português!G121</f>
        <v>5680</v>
      </c>
      <c r="H121" s="47">
        <f>Português!H121</f>
        <v>5861</v>
      </c>
      <c r="I121" s="47">
        <f>Português!I121</f>
        <v>6644</v>
      </c>
      <c r="J121" s="47">
        <v>5617</v>
      </c>
      <c r="K121" s="47">
        <v>338</v>
      </c>
      <c r="L121" s="47">
        <v>153</v>
      </c>
      <c r="M121" s="48"/>
      <c r="N121" s="47">
        <f>Português!N121</f>
        <v>0</v>
      </c>
      <c r="O121" s="47">
        <f>Português!O121</f>
        <v>0</v>
      </c>
      <c r="P121" s="47">
        <f>Português!P121</f>
        <v>3825</v>
      </c>
      <c r="Q121" s="47">
        <f>Português!Q121</f>
        <v>7455</v>
      </c>
      <c r="R121" s="47">
        <f>Português!R121</f>
        <v>7592</v>
      </c>
      <c r="S121" s="47">
        <f>Português!S121</f>
        <v>7277</v>
      </c>
      <c r="T121" s="47">
        <f>Português!T121</f>
        <v>6685</v>
      </c>
      <c r="U121" s="47">
        <f>Português!U121</f>
        <v>5680</v>
      </c>
      <c r="V121" s="47">
        <f>Português!V121</f>
        <v>5740</v>
      </c>
      <c r="W121" s="47">
        <f>Português!W121</f>
        <v>5632.13</v>
      </c>
      <c r="X121" s="47">
        <f>Português!X121</f>
        <v>5572</v>
      </c>
      <c r="Y121" s="47">
        <f>Português!Y121</f>
        <v>5861</v>
      </c>
      <c r="Z121" s="47">
        <f>Português!Z121</f>
        <v>5564</v>
      </c>
      <c r="AA121" s="47">
        <f>Português!AA121</f>
        <v>4562</v>
      </c>
      <c r="AB121" s="47">
        <f>Português!AB121</f>
        <v>3449</v>
      </c>
      <c r="AC121" s="47">
        <f>Português!AC121</f>
        <v>6644</v>
      </c>
      <c r="AD121" s="47">
        <f>Português!AD121</f>
        <v>6854</v>
      </c>
      <c r="AE121" s="47">
        <f>Português!AE121</f>
        <v>7643</v>
      </c>
      <c r="AF121" s="47">
        <f>Português!AF121</f>
        <v>6960</v>
      </c>
      <c r="AG121" s="47">
        <v>5617</v>
      </c>
      <c r="AH121" s="47">
        <v>3941</v>
      </c>
      <c r="AI121" s="47">
        <v>2196</v>
      </c>
      <c r="AJ121" s="47">
        <v>463</v>
      </c>
      <c r="AK121" s="47">
        <v>338</v>
      </c>
      <c r="AL121" s="47">
        <v>153</v>
      </c>
      <c r="AM121" s="47">
        <v>102</v>
      </c>
    </row>
    <row r="122" spans="2:39">
      <c r="B122" s="16" t="s">
        <v>276</v>
      </c>
      <c r="D122" s="47">
        <f>Português!D122</f>
        <v>0</v>
      </c>
      <c r="E122" s="47">
        <f>Português!E122</f>
        <v>0</v>
      </c>
      <c r="F122" s="47">
        <f>Português!F122</f>
        <v>0</v>
      </c>
      <c r="G122" s="47">
        <f>Português!G122</f>
        <v>13860</v>
      </c>
      <c r="H122" s="47">
        <f>Português!H122</f>
        <v>28161</v>
      </c>
      <c r="I122" s="47">
        <f>Português!I122</f>
        <v>36931</v>
      </c>
      <c r="J122" s="47">
        <v>38510</v>
      </c>
      <c r="K122" s="47">
        <v>30761</v>
      </c>
      <c r="L122" s="47">
        <v>67186</v>
      </c>
      <c r="M122" s="48"/>
      <c r="N122" s="47">
        <f>Português!N122</f>
        <v>0</v>
      </c>
      <c r="O122" s="47">
        <f>Português!O122</f>
        <v>0</v>
      </c>
      <c r="P122" s="47">
        <f>Português!P122</f>
        <v>0</v>
      </c>
      <c r="Q122" s="47">
        <f>Português!Q122</f>
        <v>0</v>
      </c>
      <c r="R122" s="47">
        <f>Português!R122</f>
        <v>0</v>
      </c>
      <c r="S122" s="47">
        <f>Português!S122</f>
        <v>0</v>
      </c>
      <c r="T122" s="47">
        <f>Português!T122</f>
        <v>0</v>
      </c>
      <c r="U122" s="47">
        <f>Português!U122</f>
        <v>13860</v>
      </c>
      <c r="V122" s="47">
        <f>Português!V122</f>
        <v>39109</v>
      </c>
      <c r="W122" s="47">
        <f>Português!W122</f>
        <v>30986.475710000002</v>
      </c>
      <c r="X122" s="47">
        <f>Português!X122</f>
        <v>30734</v>
      </c>
      <c r="Y122" s="47">
        <f>Português!Y122</f>
        <v>28161</v>
      </c>
      <c r="Z122" s="47">
        <f>Português!Z122</f>
        <v>35974</v>
      </c>
      <c r="AA122" s="47">
        <f>Português!AA122</f>
        <v>35624</v>
      </c>
      <c r="AB122" s="47">
        <f>Português!AB122</f>
        <v>37351</v>
      </c>
      <c r="AC122" s="47">
        <f>Português!AC122</f>
        <v>36931</v>
      </c>
      <c r="AD122" s="47">
        <f>Português!AD122</f>
        <v>32802</v>
      </c>
      <c r="AE122" s="47">
        <f>Português!AE122</f>
        <v>34106</v>
      </c>
      <c r="AF122" s="47">
        <f>Português!AF122</f>
        <v>37236</v>
      </c>
      <c r="AG122" s="47">
        <v>38510</v>
      </c>
      <c r="AH122" s="47">
        <v>36085</v>
      </c>
      <c r="AI122" s="47">
        <v>27518</v>
      </c>
      <c r="AJ122" s="47">
        <v>26888</v>
      </c>
      <c r="AK122" s="47">
        <v>30761</v>
      </c>
      <c r="AL122" s="47">
        <v>67186</v>
      </c>
      <c r="AM122" s="47">
        <v>68326</v>
      </c>
    </row>
    <row r="123" spans="2:39">
      <c r="B123" s="16"/>
      <c r="D123" s="47"/>
      <c r="E123" s="47"/>
      <c r="F123" s="47"/>
      <c r="G123" s="47"/>
      <c r="H123" s="47"/>
      <c r="I123" s="47"/>
      <c r="J123" s="47">
        <v>59860</v>
      </c>
      <c r="K123" s="47">
        <v>2383</v>
      </c>
      <c r="L123" s="47">
        <v>2383</v>
      </c>
      <c r="M123" s="48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>
        <v>59860</v>
      </c>
      <c r="AH123" s="47">
        <v>61414</v>
      </c>
      <c r="AI123" s="47">
        <v>58369</v>
      </c>
      <c r="AJ123" s="47">
        <v>58369</v>
      </c>
      <c r="AK123" s="47">
        <v>2383</v>
      </c>
      <c r="AL123" s="47">
        <v>2383</v>
      </c>
      <c r="AM123" s="47">
        <v>2383</v>
      </c>
    </row>
    <row r="124" spans="2:39">
      <c r="B124" s="16" t="s">
        <v>139</v>
      </c>
      <c r="D124" s="47">
        <f>Português!D124</f>
        <v>41493</v>
      </c>
      <c r="E124" s="47">
        <f>Português!E124</f>
        <v>26028</v>
      </c>
      <c r="F124" s="47">
        <f>Português!F124</f>
        <v>28080</v>
      </c>
      <c r="G124" s="47">
        <f>Português!G124</f>
        <v>55266</v>
      </c>
      <c r="H124" s="47">
        <f>Português!H124</f>
        <v>34792</v>
      </c>
      <c r="I124" s="47">
        <f>Português!I124</f>
        <v>36221</v>
      </c>
      <c r="J124" s="47">
        <v>0</v>
      </c>
      <c r="K124" s="47">
        <v>0</v>
      </c>
      <c r="L124" s="47">
        <v>0</v>
      </c>
      <c r="M124" s="48"/>
      <c r="N124" s="47">
        <f>Português!N124</f>
        <v>5956</v>
      </c>
      <c r="O124" s="47">
        <f>Português!O124</f>
        <v>5956</v>
      </c>
      <c r="P124" s="47">
        <f>Português!P124</f>
        <v>-520</v>
      </c>
      <c r="Q124" s="47">
        <f>Português!Q124</f>
        <v>28080</v>
      </c>
      <c r="R124" s="47">
        <f>Português!R124</f>
        <v>24315</v>
      </c>
      <c r="S124" s="47">
        <f>Português!S124</f>
        <v>3297</v>
      </c>
      <c r="T124" s="47">
        <f>Português!T124</f>
        <v>787</v>
      </c>
      <c r="U124" s="47">
        <f>Português!U124</f>
        <v>55266</v>
      </c>
      <c r="V124" s="47">
        <f>Português!V124</f>
        <v>55077</v>
      </c>
      <c r="W124" s="47">
        <f>Português!W124</f>
        <v>20890.569000000003</v>
      </c>
      <c r="X124" s="47">
        <f>Português!X124</f>
        <v>12743</v>
      </c>
      <c r="Y124" s="47">
        <f>Português!Y124</f>
        <v>34792</v>
      </c>
      <c r="Z124" s="47">
        <f>Português!Z124</f>
        <v>27646</v>
      </c>
      <c r="AA124" s="47">
        <f>Português!AA124</f>
        <v>3108</v>
      </c>
      <c r="AB124" s="47">
        <f>Português!AB124</f>
        <v>3108</v>
      </c>
      <c r="AC124" s="47">
        <f>Português!AC124</f>
        <v>36221</v>
      </c>
      <c r="AD124" s="47">
        <f>Português!AD124</f>
        <v>36221</v>
      </c>
      <c r="AE124" s="47">
        <f>Português!AE124</f>
        <v>0</v>
      </c>
      <c r="AF124" s="47">
        <f>Português!AF124</f>
        <v>0</v>
      </c>
      <c r="AG124" s="47">
        <v>0</v>
      </c>
      <c r="AH124" s="47">
        <v>0</v>
      </c>
      <c r="AI124" s="47">
        <v>0</v>
      </c>
      <c r="AJ124" s="47"/>
      <c r="AK124" s="47">
        <v>0</v>
      </c>
      <c r="AL124" s="47">
        <v>0</v>
      </c>
      <c r="AM124" s="47">
        <v>0</v>
      </c>
    </row>
    <row r="125" spans="2:39">
      <c r="B125" s="16" t="s">
        <v>140</v>
      </c>
      <c r="D125" s="47">
        <f>Português!D125</f>
        <v>672</v>
      </c>
      <c r="E125" s="47">
        <f>Português!E125</f>
        <v>234</v>
      </c>
      <c r="F125" s="47">
        <f>Português!F125</f>
        <v>957</v>
      </c>
      <c r="G125" s="47">
        <f>Português!G125</f>
        <v>8300</v>
      </c>
      <c r="H125" s="47">
        <f>Português!H125</f>
        <v>8420</v>
      </c>
      <c r="I125" s="47">
        <f>Português!I125</f>
        <v>11453</v>
      </c>
      <c r="J125" s="47">
        <v>5710</v>
      </c>
      <c r="K125" s="47">
        <v>10346</v>
      </c>
      <c r="L125" s="47">
        <v>5796</v>
      </c>
      <c r="M125" s="48"/>
      <c r="N125" s="47">
        <f>Português!N125</f>
        <v>285</v>
      </c>
      <c r="O125" s="47">
        <f>Português!O125</f>
        <v>485</v>
      </c>
      <c r="P125" s="47">
        <f>Português!P125</f>
        <v>430</v>
      </c>
      <c r="Q125" s="47">
        <f>Português!Q125</f>
        <v>957</v>
      </c>
      <c r="R125" s="47">
        <f>Português!R125</f>
        <v>418</v>
      </c>
      <c r="S125" s="47">
        <f>Português!S125</f>
        <v>543</v>
      </c>
      <c r="T125" s="47">
        <f>Português!T125</f>
        <v>6476</v>
      </c>
      <c r="U125" s="47">
        <f>Português!U125</f>
        <v>8300</v>
      </c>
      <c r="V125" s="47">
        <f>Português!V125</f>
        <v>15530</v>
      </c>
      <c r="W125" s="47">
        <f>Português!W125</f>
        <v>15525.320900000001</v>
      </c>
      <c r="X125" s="47">
        <f>Português!X125</f>
        <v>16143</v>
      </c>
      <c r="Y125" s="47">
        <f>Português!Y125</f>
        <v>8420</v>
      </c>
      <c r="Z125" s="47">
        <f>Português!Z125</f>
        <v>12310</v>
      </c>
      <c r="AA125" s="47">
        <f>Português!AA125</f>
        <v>12622</v>
      </c>
      <c r="AB125" s="47">
        <f>Português!AB125</f>
        <v>10769</v>
      </c>
      <c r="AC125" s="47">
        <f>Português!AC125</f>
        <v>11453</v>
      </c>
      <c r="AD125" s="47">
        <f>Português!AD125</f>
        <v>13018</v>
      </c>
      <c r="AE125" s="47">
        <f>Português!AE125</f>
        <v>9257</v>
      </c>
      <c r="AF125" s="47">
        <f>Português!AF125</f>
        <v>8861</v>
      </c>
      <c r="AG125" s="47">
        <v>5710</v>
      </c>
      <c r="AH125" s="47">
        <v>8569</v>
      </c>
      <c r="AI125" s="47">
        <v>8109</v>
      </c>
      <c r="AJ125" s="47">
        <v>11019</v>
      </c>
      <c r="AK125" s="47">
        <v>10346</v>
      </c>
      <c r="AL125" s="47">
        <v>5796</v>
      </c>
      <c r="AM125" s="47">
        <v>7550</v>
      </c>
    </row>
    <row r="126" spans="2:39">
      <c r="B126" s="33"/>
      <c r="D126" s="51">
        <f t="shared" ref="D126:I126" si="267">SUM(D115:D125)</f>
        <v>177559</v>
      </c>
      <c r="E126" s="51">
        <f t="shared" si="267"/>
        <v>174967</v>
      </c>
      <c r="F126" s="51">
        <f t="shared" si="267"/>
        <v>427761</v>
      </c>
      <c r="G126" s="51">
        <f t="shared" si="267"/>
        <v>346483</v>
      </c>
      <c r="H126" s="51">
        <f t="shared" si="267"/>
        <v>443433</v>
      </c>
      <c r="I126" s="51">
        <f t="shared" si="267"/>
        <v>485575</v>
      </c>
      <c r="J126" s="51">
        <v>467424</v>
      </c>
      <c r="K126" s="51">
        <v>491106</v>
      </c>
      <c r="L126" s="51">
        <v>521207</v>
      </c>
      <c r="N126" s="51">
        <f t="shared" ref="N126" si="268">SUM(N115:N125)</f>
        <v>164663</v>
      </c>
      <c r="O126" s="51">
        <f t="shared" ref="O126" si="269">SUM(O115:O125)</f>
        <v>185406</v>
      </c>
      <c r="P126" s="51">
        <f t="shared" ref="P126" si="270">SUM(P115:P125)</f>
        <v>141195</v>
      </c>
      <c r="Q126" s="51">
        <f t="shared" ref="Q126" si="271">SUM(Q115:Q125)</f>
        <v>427761</v>
      </c>
      <c r="R126" s="51">
        <f t="shared" ref="R126" si="272">SUM(R115:R125)</f>
        <v>249108</v>
      </c>
      <c r="S126" s="51">
        <f t="shared" ref="S126" si="273">SUM(S115:S125)</f>
        <v>250400</v>
      </c>
      <c r="T126" s="51">
        <f t="shared" ref="T126" si="274">SUM(T115:T125)</f>
        <v>281219</v>
      </c>
      <c r="U126" s="51">
        <f t="shared" ref="U126" si="275">SUM(U115:U125)</f>
        <v>346483</v>
      </c>
      <c r="V126" s="51">
        <f t="shared" ref="V126:AC126" si="276">SUM(V115:V125)</f>
        <v>447776</v>
      </c>
      <c r="W126" s="51">
        <f t="shared" si="276"/>
        <v>403518.71131000004</v>
      </c>
      <c r="X126" s="51">
        <f t="shared" si="276"/>
        <v>439384</v>
      </c>
      <c r="Y126" s="51">
        <f t="shared" si="276"/>
        <v>443433</v>
      </c>
      <c r="Z126" s="51">
        <f t="shared" si="276"/>
        <v>477789</v>
      </c>
      <c r="AA126" s="51">
        <f t="shared" si="276"/>
        <v>437828</v>
      </c>
      <c r="AB126" s="51">
        <f t="shared" si="276"/>
        <v>488463</v>
      </c>
      <c r="AC126" s="51">
        <f t="shared" si="276"/>
        <v>485575</v>
      </c>
      <c r="AD126" s="51">
        <f>SUM(AD115:AD125)</f>
        <v>548839</v>
      </c>
      <c r="AE126" s="51">
        <f t="shared" ref="AE126:AF126" si="277">SUM(AE115:AE125)</f>
        <v>413837</v>
      </c>
      <c r="AF126" s="51">
        <f t="shared" si="277"/>
        <v>437579</v>
      </c>
      <c r="AG126" s="51">
        <v>467424</v>
      </c>
      <c r="AH126" s="51">
        <v>514518</v>
      </c>
      <c r="AI126" s="51">
        <v>485010</v>
      </c>
      <c r="AJ126" s="51">
        <v>534992</v>
      </c>
      <c r="AK126" s="51">
        <v>491106</v>
      </c>
      <c r="AL126" s="51">
        <v>521207</v>
      </c>
      <c r="AM126" s="51">
        <v>543974</v>
      </c>
    </row>
    <row r="127" spans="2:39">
      <c r="B127" s="16" t="s">
        <v>371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N127" s="47">
        <f>Português!N127</f>
        <v>0</v>
      </c>
      <c r="O127" s="47">
        <f>Português!O127</f>
        <v>0</v>
      </c>
      <c r="P127" s="47">
        <f>Português!P127</f>
        <v>0</v>
      </c>
      <c r="Q127" s="47">
        <f>Português!Q127</f>
        <v>0</v>
      </c>
      <c r="R127" s="47">
        <f>Português!R127</f>
        <v>0</v>
      </c>
      <c r="S127" s="47">
        <f>Português!S127</f>
        <v>0</v>
      </c>
      <c r="T127" s="47">
        <f>Português!T127</f>
        <v>0</v>
      </c>
      <c r="U127" s="47">
        <f>Português!U127</f>
        <v>0</v>
      </c>
      <c r="V127" s="47">
        <f>Português!V127</f>
        <v>0</v>
      </c>
      <c r="W127" s="47">
        <f>Português!W127</f>
        <v>0</v>
      </c>
      <c r="X127" s="47">
        <f>Português!X127</f>
        <v>0</v>
      </c>
      <c r="Y127" s="47">
        <f>Português!Y127</f>
        <v>0</v>
      </c>
      <c r="Z127" s="47">
        <f>Português!Z127</f>
        <v>0</v>
      </c>
      <c r="AA127" s="47">
        <f>Português!AA127</f>
        <v>0</v>
      </c>
      <c r="AB127" s="47">
        <f>Português!AB127</f>
        <v>0</v>
      </c>
      <c r="AC127" s="47">
        <f>Português!AC127</f>
        <v>0</v>
      </c>
      <c r="AD127" s="47">
        <f>Português!AD127</f>
        <v>0</v>
      </c>
      <c r="AE127" s="47">
        <f>Português!AE127</f>
        <v>435349</v>
      </c>
      <c r="AF127" s="47">
        <f>Português!AF127</f>
        <v>0</v>
      </c>
      <c r="AG127" s="47"/>
      <c r="AH127" s="47">
        <v>0</v>
      </c>
      <c r="AI127" s="47">
        <v>0</v>
      </c>
      <c r="AJ127" s="47"/>
      <c r="AK127" s="47">
        <v>0</v>
      </c>
      <c r="AL127" s="47">
        <v>0</v>
      </c>
      <c r="AM127" s="47">
        <v>0</v>
      </c>
    </row>
    <row r="128" spans="2:39">
      <c r="B128" s="33" t="s">
        <v>141</v>
      </c>
      <c r="D128" s="51">
        <f t="shared" ref="D128:I128" si="278">D127+D126</f>
        <v>177559</v>
      </c>
      <c r="E128" s="51">
        <f t="shared" si="278"/>
        <v>174967</v>
      </c>
      <c r="F128" s="51">
        <f t="shared" si="278"/>
        <v>427761</v>
      </c>
      <c r="G128" s="51">
        <f t="shared" si="278"/>
        <v>346483</v>
      </c>
      <c r="H128" s="51">
        <f t="shared" si="278"/>
        <v>443433</v>
      </c>
      <c r="I128" s="51">
        <f t="shared" si="278"/>
        <v>485575</v>
      </c>
      <c r="J128" s="51">
        <v>467424</v>
      </c>
      <c r="K128" s="51">
        <v>491106</v>
      </c>
      <c r="L128" s="51">
        <v>521207</v>
      </c>
      <c r="M128" s="48"/>
      <c r="N128" s="51">
        <f>N127+N126</f>
        <v>164663</v>
      </c>
      <c r="O128" s="51">
        <f t="shared" ref="O128:AE128" si="279">O127+O126</f>
        <v>185406</v>
      </c>
      <c r="P128" s="51">
        <f t="shared" si="279"/>
        <v>141195</v>
      </c>
      <c r="Q128" s="51">
        <f t="shared" si="279"/>
        <v>427761</v>
      </c>
      <c r="R128" s="51">
        <f t="shared" si="279"/>
        <v>249108</v>
      </c>
      <c r="S128" s="51">
        <f t="shared" si="279"/>
        <v>250400</v>
      </c>
      <c r="T128" s="51">
        <f t="shared" si="279"/>
        <v>281219</v>
      </c>
      <c r="U128" s="51">
        <f t="shared" si="279"/>
        <v>346483</v>
      </c>
      <c r="V128" s="51">
        <f t="shared" si="279"/>
        <v>447776</v>
      </c>
      <c r="W128" s="51">
        <f t="shared" si="279"/>
        <v>403518.71131000004</v>
      </c>
      <c r="X128" s="51">
        <f t="shared" si="279"/>
        <v>439384</v>
      </c>
      <c r="Y128" s="51">
        <f t="shared" si="279"/>
        <v>443433</v>
      </c>
      <c r="Z128" s="51">
        <f t="shared" si="279"/>
        <v>477789</v>
      </c>
      <c r="AA128" s="51">
        <f t="shared" si="279"/>
        <v>437828</v>
      </c>
      <c r="AB128" s="51">
        <f t="shared" si="279"/>
        <v>488463</v>
      </c>
      <c r="AC128" s="51">
        <f t="shared" si="279"/>
        <v>485575</v>
      </c>
      <c r="AD128" s="51">
        <f t="shared" si="279"/>
        <v>548839</v>
      </c>
      <c r="AE128" s="51">
        <f t="shared" si="279"/>
        <v>849186</v>
      </c>
      <c r="AF128" s="51">
        <f t="shared" ref="AF128" si="280">AF127+AF126</f>
        <v>437579</v>
      </c>
      <c r="AG128" s="51">
        <v>467424</v>
      </c>
      <c r="AH128" s="51">
        <v>514518</v>
      </c>
      <c r="AI128" s="51">
        <v>485010</v>
      </c>
      <c r="AJ128" s="51">
        <v>534992</v>
      </c>
      <c r="AK128" s="51">
        <v>491106</v>
      </c>
      <c r="AL128" s="51">
        <v>521207</v>
      </c>
      <c r="AM128" s="51">
        <v>543974</v>
      </c>
    </row>
    <row r="129" spans="2:39">
      <c r="B129" s="28" t="s">
        <v>129</v>
      </c>
      <c r="D129" s="47"/>
      <c r="E129" s="47"/>
      <c r="F129" s="47"/>
      <c r="G129" s="47"/>
      <c r="H129" s="47"/>
      <c r="I129" s="47"/>
      <c r="J129" s="47">
        <v>0</v>
      </c>
      <c r="K129" s="46"/>
      <c r="L129" s="46">
        <v>0</v>
      </c>
      <c r="M129" s="48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G129" s="46"/>
      <c r="AH129" s="46"/>
      <c r="AI129" s="46"/>
      <c r="AJ129" s="46"/>
      <c r="AK129" s="46"/>
      <c r="AL129" s="46">
        <v>0</v>
      </c>
      <c r="AM129" s="46"/>
    </row>
    <row r="130" spans="2:39">
      <c r="B130" s="32" t="s">
        <v>285</v>
      </c>
      <c r="D130" s="47">
        <f>Português!D130</f>
        <v>147226</v>
      </c>
      <c r="E130" s="47">
        <f>Português!E130</f>
        <v>157740</v>
      </c>
      <c r="F130" s="47">
        <f>Português!F130</f>
        <v>2772</v>
      </c>
      <c r="G130" s="47">
        <f>Português!G130</f>
        <v>1047261</v>
      </c>
      <c r="H130" s="47">
        <f>Português!H130</f>
        <v>1150207</v>
      </c>
      <c r="I130" s="47">
        <f>Português!I130</f>
        <v>1202660</v>
      </c>
      <c r="J130" s="47">
        <v>1347024</v>
      </c>
      <c r="K130" s="47">
        <v>1290122</v>
      </c>
      <c r="L130" s="47">
        <v>1273060</v>
      </c>
      <c r="M130" s="48"/>
      <c r="N130" s="47">
        <f>Português!N130</f>
        <v>186897</v>
      </c>
      <c r="O130" s="47">
        <f>Português!O130</f>
        <v>179825</v>
      </c>
      <c r="P130" s="47">
        <f>Português!P130</f>
        <v>191666</v>
      </c>
      <c r="Q130" s="47">
        <f>Português!Q130</f>
        <v>2772</v>
      </c>
      <c r="R130" s="47">
        <f>Português!R130</f>
        <v>165487</v>
      </c>
      <c r="S130" s="47">
        <f>Português!S130</f>
        <v>220497</v>
      </c>
      <c r="T130" s="47">
        <f>Português!T130</f>
        <v>192336</v>
      </c>
      <c r="U130" s="47">
        <f>Português!U130</f>
        <v>1047261</v>
      </c>
      <c r="V130" s="47">
        <f>Português!V130</f>
        <v>1102437</v>
      </c>
      <c r="W130" s="47">
        <f>Português!W130</f>
        <v>1098007.3670000001</v>
      </c>
      <c r="X130" s="47">
        <f>Português!X130</f>
        <v>1158679</v>
      </c>
      <c r="Y130" s="47">
        <f>Português!Y130</f>
        <v>1150207</v>
      </c>
      <c r="Z130" s="47">
        <f>Português!Z130</f>
        <v>1142639</v>
      </c>
      <c r="AA130" s="47">
        <f>Português!AA130</f>
        <v>1213206</v>
      </c>
      <c r="AB130" s="47">
        <f>Português!AB130</f>
        <v>1210208</v>
      </c>
      <c r="AC130" s="47">
        <f>Português!AC130</f>
        <v>1202660</v>
      </c>
      <c r="AD130" s="47">
        <f>Português!AD130</f>
        <v>1170357</v>
      </c>
      <c r="AE130" s="47">
        <f>Português!AE130</f>
        <v>1364845</v>
      </c>
      <c r="AF130" s="47">
        <f>Português!AF130</f>
        <v>1356412</v>
      </c>
      <c r="AG130" s="47">
        <v>1347024</v>
      </c>
      <c r="AH130" s="47">
        <v>1329427</v>
      </c>
      <c r="AI130" s="47">
        <v>1311259</v>
      </c>
      <c r="AJ130" s="47">
        <v>1300903</v>
      </c>
      <c r="AK130" s="47">
        <v>1290122</v>
      </c>
      <c r="AL130" s="47">
        <v>1273060</v>
      </c>
      <c r="AM130" s="47">
        <v>1253843</v>
      </c>
    </row>
    <row r="131" spans="2:39">
      <c r="B131" s="32" t="s">
        <v>325</v>
      </c>
      <c r="D131" s="47">
        <f>Português!D131</f>
        <v>0</v>
      </c>
      <c r="E131" s="47">
        <f>Português!E131</f>
        <v>0</v>
      </c>
      <c r="F131" s="47">
        <f>Português!F131</f>
        <v>0</v>
      </c>
      <c r="G131" s="47">
        <f>Português!G131</f>
        <v>0</v>
      </c>
      <c r="H131" s="47">
        <f>Português!H131</f>
        <v>2620</v>
      </c>
      <c r="I131" s="47">
        <f>Português!I131</f>
        <v>0</v>
      </c>
      <c r="J131" s="47">
        <v>21430</v>
      </c>
      <c r="K131" s="47">
        <v>20361</v>
      </c>
      <c r="L131" s="47">
        <v>17038</v>
      </c>
      <c r="M131" s="48"/>
      <c r="N131" s="47">
        <f>Português!N131</f>
        <v>0</v>
      </c>
      <c r="O131" s="47">
        <f>Português!O131</f>
        <v>0</v>
      </c>
      <c r="P131" s="47">
        <f>Português!P131</f>
        <v>0</v>
      </c>
      <c r="Q131" s="47">
        <f>Português!Q131</f>
        <v>0</v>
      </c>
      <c r="R131" s="47">
        <f>Português!R131</f>
        <v>0</v>
      </c>
      <c r="S131" s="47">
        <f>Português!S131</f>
        <v>0</v>
      </c>
      <c r="T131" s="47">
        <f>Português!T131</f>
        <v>0</v>
      </c>
      <c r="U131" s="47">
        <f>Português!U131</f>
        <v>0</v>
      </c>
      <c r="V131" s="47">
        <f>Português!V131</f>
        <v>0</v>
      </c>
      <c r="W131" s="47">
        <f>Português!W131</f>
        <v>0</v>
      </c>
      <c r="X131" s="47">
        <f>Português!X131</f>
        <v>2819</v>
      </c>
      <c r="Y131" s="47">
        <f>Português!Y131</f>
        <v>2620</v>
      </c>
      <c r="Z131" s="47">
        <f>Português!Z131</f>
        <v>0</v>
      </c>
      <c r="AA131" s="47">
        <f>Português!AA131</f>
        <v>0</v>
      </c>
      <c r="AB131" s="47">
        <f>Português!AB131</f>
        <v>0</v>
      </c>
      <c r="AC131" s="47">
        <f>Português!AC131</f>
        <v>0</v>
      </c>
      <c r="AD131" s="47">
        <f>Português!AD131</f>
        <v>0</v>
      </c>
      <c r="AE131" s="47">
        <f>Português!AE131</f>
        <v>7336</v>
      </c>
      <c r="AF131" s="47">
        <f>Português!AF131</f>
        <v>8934</v>
      </c>
      <c r="AG131" s="47">
        <v>21430</v>
      </c>
      <c r="AH131" s="47">
        <v>19028</v>
      </c>
      <c r="AI131" s="47">
        <v>19592</v>
      </c>
      <c r="AJ131" s="47">
        <v>23611</v>
      </c>
      <c r="AK131" s="47">
        <v>20361</v>
      </c>
      <c r="AL131" s="47">
        <v>17038</v>
      </c>
      <c r="AM131" s="47">
        <v>23145</v>
      </c>
    </row>
    <row r="132" spans="2:39">
      <c r="B132" s="32" t="s">
        <v>228</v>
      </c>
      <c r="D132" s="47">
        <f>Português!D132</f>
        <v>0</v>
      </c>
      <c r="E132" s="47">
        <f>Português!E132</f>
        <v>1812</v>
      </c>
      <c r="F132" s="47">
        <f>Português!F132</f>
        <v>358437</v>
      </c>
      <c r="G132" s="47">
        <f>Português!G132</f>
        <v>515208</v>
      </c>
      <c r="H132" s="47">
        <f>Português!H132</f>
        <v>701049</v>
      </c>
      <c r="I132" s="47">
        <f>Português!I132</f>
        <v>762274</v>
      </c>
      <c r="J132" s="47">
        <v>675457</v>
      </c>
      <c r="K132" s="47">
        <v>698427</v>
      </c>
      <c r="L132" s="47">
        <v>716416</v>
      </c>
      <c r="M132" s="48"/>
      <c r="N132" s="47">
        <f>Português!N132</f>
        <v>5084</v>
      </c>
      <c r="O132" s="47">
        <f>Português!O132</f>
        <v>5084</v>
      </c>
      <c r="P132" s="47">
        <f>Português!P132</f>
        <v>5084</v>
      </c>
      <c r="Q132" s="47">
        <f>Português!Q132</f>
        <v>358437</v>
      </c>
      <c r="R132" s="47">
        <f>Português!R132</f>
        <v>360640</v>
      </c>
      <c r="S132" s="47">
        <f>Português!S132</f>
        <v>357585</v>
      </c>
      <c r="T132" s="47">
        <f>Português!T132</f>
        <v>356733</v>
      </c>
      <c r="U132" s="47">
        <f>Português!U132</f>
        <v>515208</v>
      </c>
      <c r="V132" s="47">
        <f>Português!V132</f>
        <v>552211</v>
      </c>
      <c r="W132" s="47">
        <f>Português!W132</f>
        <v>685181.63400000008</v>
      </c>
      <c r="X132" s="47">
        <f>Português!X132</f>
        <v>683679</v>
      </c>
      <c r="Y132" s="47">
        <f>Português!Y132</f>
        <v>701049</v>
      </c>
      <c r="Z132" s="47">
        <f>Português!Z132</f>
        <v>753505</v>
      </c>
      <c r="AA132" s="47">
        <f>Português!AA132</f>
        <v>761995</v>
      </c>
      <c r="AB132" s="47">
        <f>Português!AB132</f>
        <v>763127</v>
      </c>
      <c r="AC132" s="47">
        <f>Português!AC132</f>
        <v>762274</v>
      </c>
      <c r="AD132" s="47">
        <f>Português!AD132</f>
        <v>789714</v>
      </c>
      <c r="AE132" s="47">
        <f>Português!AE132</f>
        <v>605525</v>
      </c>
      <c r="AF132" s="47">
        <f>Português!AF132</f>
        <v>676120</v>
      </c>
      <c r="AG132" s="47">
        <v>675457</v>
      </c>
      <c r="AH132" s="47">
        <v>696414</v>
      </c>
      <c r="AI132" s="47">
        <v>703827</v>
      </c>
      <c r="AJ132" s="47">
        <v>708009</v>
      </c>
      <c r="AK132" s="47">
        <v>698427</v>
      </c>
      <c r="AL132" s="47">
        <v>716416</v>
      </c>
      <c r="AM132" s="47">
        <v>721584</v>
      </c>
    </row>
    <row r="133" spans="2:39">
      <c r="B133" s="32" t="s">
        <v>277</v>
      </c>
      <c r="D133" s="47">
        <f>Português!D133</f>
        <v>0</v>
      </c>
      <c r="E133" s="47">
        <f>Português!E133</f>
        <v>0</v>
      </c>
      <c r="F133" s="47">
        <f>Português!F133</f>
        <v>0</v>
      </c>
      <c r="G133" s="47">
        <f>Português!G133</f>
        <v>279962</v>
      </c>
      <c r="H133" s="47">
        <f>Português!H133</f>
        <v>378586</v>
      </c>
      <c r="I133" s="47">
        <f>Português!I133</f>
        <v>422171</v>
      </c>
      <c r="J133" s="47"/>
      <c r="K133" s="47">
        <v>0</v>
      </c>
      <c r="L133" s="47">
        <v>0</v>
      </c>
      <c r="M133" s="48"/>
      <c r="N133" s="47">
        <f>Português!N133</f>
        <v>0</v>
      </c>
      <c r="O133" s="47">
        <f>Português!O133</f>
        <v>0</v>
      </c>
      <c r="P133" s="47">
        <f>Português!P133</f>
        <v>0</v>
      </c>
      <c r="Q133" s="47">
        <f>Português!Q133</f>
        <v>0</v>
      </c>
      <c r="R133" s="47">
        <f>Português!R133</f>
        <v>0</v>
      </c>
      <c r="S133" s="47">
        <f>Português!S133</f>
        <v>0</v>
      </c>
      <c r="T133" s="47">
        <f>Português!T133</f>
        <v>0</v>
      </c>
      <c r="U133" s="47">
        <f>Português!U133</f>
        <v>279962</v>
      </c>
      <c r="V133" s="47">
        <f>Português!V133</f>
        <v>287647</v>
      </c>
      <c r="W133" s="47">
        <f>Português!W133</f>
        <v>295552</v>
      </c>
      <c r="X133" s="47">
        <f>Português!X133</f>
        <v>303654</v>
      </c>
      <c r="Y133" s="47">
        <f>Português!Y133</f>
        <v>378586</v>
      </c>
      <c r="Z133" s="47">
        <f>Português!Z133</f>
        <v>389040</v>
      </c>
      <c r="AA133" s="47">
        <f>Português!AA133</f>
        <v>399784</v>
      </c>
      <c r="AB133" s="47">
        <f>Português!AB133</f>
        <v>410824</v>
      </c>
      <c r="AC133" s="47">
        <f>Português!AC133</f>
        <v>422171</v>
      </c>
      <c r="AD133" s="47">
        <f>Português!AD133</f>
        <v>433603</v>
      </c>
      <c r="AE133" s="47">
        <f>Português!AE133</f>
        <v>78548</v>
      </c>
      <c r="AF133" s="47">
        <f>Português!AF133</f>
        <v>80778</v>
      </c>
      <c r="AG133" s="47">
        <v>0</v>
      </c>
      <c r="AH133" s="47">
        <v>0</v>
      </c>
      <c r="AI133" s="47">
        <v>0</v>
      </c>
      <c r="AJ133" s="47"/>
      <c r="AK133" s="47">
        <v>0</v>
      </c>
      <c r="AL133" s="47">
        <v>0</v>
      </c>
      <c r="AM133" s="47">
        <v>0</v>
      </c>
    </row>
    <row r="134" spans="2:39">
      <c r="B134" s="32" t="s">
        <v>326</v>
      </c>
      <c r="D134" s="47">
        <f>Português!D134</f>
        <v>0</v>
      </c>
      <c r="E134" s="47">
        <f>Português!E134</f>
        <v>0</v>
      </c>
      <c r="F134" s="47">
        <f>Português!F134</f>
        <v>0</v>
      </c>
      <c r="G134" s="47">
        <f>Português!G134</f>
        <v>0</v>
      </c>
      <c r="H134" s="47">
        <f>Português!H134</f>
        <v>9735</v>
      </c>
      <c r="I134" s="47">
        <f>Português!I134</f>
        <v>4695</v>
      </c>
      <c r="J134" s="47">
        <v>649</v>
      </c>
      <c r="K134" s="47">
        <v>508</v>
      </c>
      <c r="L134" s="47">
        <v>508</v>
      </c>
      <c r="M134" s="48"/>
      <c r="N134" s="47" t="e">
        <f>Português!#REF!</f>
        <v>#REF!</v>
      </c>
      <c r="O134" s="47">
        <f>Português!O134</f>
        <v>0</v>
      </c>
      <c r="P134" s="47">
        <f>Português!P134</f>
        <v>0</v>
      </c>
      <c r="Q134" s="47">
        <f>Português!Q134</f>
        <v>0</v>
      </c>
      <c r="R134" s="47">
        <f>Português!R134</f>
        <v>0</v>
      </c>
      <c r="S134" s="47">
        <f>Português!S134</f>
        <v>0</v>
      </c>
      <c r="T134" s="47">
        <f>Português!T134</f>
        <v>0</v>
      </c>
      <c r="U134" s="47">
        <f>Português!U134</f>
        <v>0</v>
      </c>
      <c r="V134" s="47">
        <f>Português!V134</f>
        <v>0</v>
      </c>
      <c r="W134" s="47">
        <f>Português!W134</f>
        <v>0</v>
      </c>
      <c r="X134" s="47">
        <f>Português!X134</f>
        <v>8094</v>
      </c>
      <c r="Y134" s="47">
        <f>Português!Y134</f>
        <v>9735</v>
      </c>
      <c r="Z134" s="47">
        <f>Português!Z134</f>
        <v>9088</v>
      </c>
      <c r="AA134" s="47">
        <f>Português!AA134</f>
        <v>9088</v>
      </c>
      <c r="AB134" s="47">
        <f>Português!AB134</f>
        <v>9088</v>
      </c>
      <c r="AC134" s="47">
        <f>Português!AC134</f>
        <v>4695</v>
      </c>
      <c r="AD134" s="47">
        <f>Português!AD134</f>
        <v>3186</v>
      </c>
      <c r="AE134" s="47">
        <f>Português!AE134</f>
        <v>1798</v>
      </c>
      <c r="AF134" s="47">
        <f>Português!AF134</f>
        <v>930</v>
      </c>
      <c r="AG134" s="47">
        <v>649</v>
      </c>
      <c r="AH134" s="47">
        <v>648</v>
      </c>
      <c r="AI134" s="47">
        <v>649</v>
      </c>
      <c r="AJ134" s="47">
        <v>541</v>
      </c>
      <c r="AK134" s="47">
        <v>508</v>
      </c>
      <c r="AL134" s="47">
        <v>508</v>
      </c>
      <c r="AM134" s="47">
        <v>508</v>
      </c>
    </row>
    <row r="135" spans="2:39">
      <c r="B135" s="16" t="s">
        <v>138</v>
      </c>
      <c r="D135" s="47">
        <f>Português!D135</f>
        <v>0</v>
      </c>
      <c r="E135" s="47">
        <f>Português!E135</f>
        <v>0</v>
      </c>
      <c r="F135" s="47">
        <f>Português!F135</f>
        <v>18073</v>
      </c>
      <c r="G135" s="47">
        <f>Português!G135</f>
        <v>12884</v>
      </c>
      <c r="H135" s="47">
        <f>Português!H135</f>
        <v>84867</v>
      </c>
      <c r="I135" s="47">
        <f>Português!I135</f>
        <v>99715</v>
      </c>
      <c r="J135" s="47">
        <v>77960</v>
      </c>
      <c r="K135" s="47">
        <v>74362</v>
      </c>
      <c r="L135" s="47">
        <v>75530</v>
      </c>
      <c r="M135" s="48"/>
      <c r="N135" s="47">
        <f>Português!N135</f>
        <v>0</v>
      </c>
      <c r="O135" s="47">
        <f>Português!O135</f>
        <v>0</v>
      </c>
      <c r="P135" s="47">
        <f>Português!P135</f>
        <v>15462</v>
      </c>
      <c r="Q135" s="47">
        <f>Português!Q135</f>
        <v>18073</v>
      </c>
      <c r="R135" s="47">
        <f>Português!R135</f>
        <v>16293</v>
      </c>
      <c r="S135" s="47">
        <f>Português!S135</f>
        <v>14963</v>
      </c>
      <c r="T135" s="47">
        <f>Português!T135</f>
        <v>13908</v>
      </c>
      <c r="U135" s="47">
        <f>Português!U135</f>
        <v>12884</v>
      </c>
      <c r="V135" s="47">
        <f>Português!V135</f>
        <v>12888</v>
      </c>
      <c r="W135" s="47">
        <f>Português!W135</f>
        <v>11887</v>
      </c>
      <c r="X135" s="47">
        <f>Português!X135</f>
        <v>10936</v>
      </c>
      <c r="Y135" s="47">
        <f>Português!Y135</f>
        <v>84867</v>
      </c>
      <c r="Z135" s="47">
        <f>Português!Z135</f>
        <v>84841</v>
      </c>
      <c r="AA135" s="47">
        <f>Português!AA135</f>
        <v>82539</v>
      </c>
      <c r="AB135" s="47">
        <f>Português!AB135</f>
        <v>84666</v>
      </c>
      <c r="AC135" s="47">
        <f>Português!AC135</f>
        <v>99715</v>
      </c>
      <c r="AD135" s="47">
        <f>Português!AD135</f>
        <v>105850</v>
      </c>
      <c r="AE135" s="47">
        <f>Português!AE135</f>
        <v>78411</v>
      </c>
      <c r="AF135" s="47">
        <f>Português!AF135</f>
        <v>78093</v>
      </c>
      <c r="AG135" s="47">
        <v>77960</v>
      </c>
      <c r="AH135" s="47">
        <v>77548</v>
      </c>
      <c r="AI135" s="47">
        <v>77394</v>
      </c>
      <c r="AJ135" s="47">
        <v>77019</v>
      </c>
      <c r="AK135" s="47">
        <v>74362</v>
      </c>
      <c r="AL135" s="47">
        <v>75530</v>
      </c>
      <c r="AM135" s="47">
        <v>114226</v>
      </c>
    </row>
    <row r="136" spans="2:39">
      <c r="B136" s="16" t="s">
        <v>276</v>
      </c>
      <c r="D136" s="47">
        <f>Português!D136</f>
        <v>0</v>
      </c>
      <c r="E136" s="47">
        <f>Português!E136</f>
        <v>0</v>
      </c>
      <c r="F136" s="47">
        <f>Português!F136</f>
        <v>0</v>
      </c>
      <c r="G136" s="47">
        <f>Português!G136</f>
        <v>2000</v>
      </c>
      <c r="H136" s="47">
        <f>Português!H136</f>
        <v>196865</v>
      </c>
      <c r="I136" s="47">
        <f>Português!I136</f>
        <v>174778</v>
      </c>
      <c r="J136" s="47">
        <v>157546</v>
      </c>
      <c r="K136" s="47">
        <v>141639</v>
      </c>
      <c r="L136" s="47">
        <v>84212</v>
      </c>
      <c r="M136" s="48"/>
      <c r="N136" s="47">
        <f>Português!N136</f>
        <v>0</v>
      </c>
      <c r="O136" s="47">
        <f>Português!O136</f>
        <v>0</v>
      </c>
      <c r="P136" s="47">
        <f>Português!P136</f>
        <v>0</v>
      </c>
      <c r="Q136" s="47">
        <f>Português!Q136</f>
        <v>0</v>
      </c>
      <c r="R136" s="47">
        <f>Português!R136</f>
        <v>0</v>
      </c>
      <c r="S136" s="47">
        <f>Português!S136</f>
        <v>0</v>
      </c>
      <c r="T136" s="47">
        <f>Português!T136</f>
        <v>0</v>
      </c>
      <c r="U136" s="47">
        <f>Português!U136</f>
        <v>2000</v>
      </c>
      <c r="V136" s="47">
        <f>Português!V136</f>
        <v>158416</v>
      </c>
      <c r="W136" s="47">
        <f>Português!W136</f>
        <v>183210.98858999999</v>
      </c>
      <c r="X136" s="47">
        <f>Português!X136</f>
        <v>275043</v>
      </c>
      <c r="Y136" s="47">
        <f>Português!Y136</f>
        <v>196865</v>
      </c>
      <c r="Z136" s="47">
        <f>Português!Z136</f>
        <v>162840</v>
      </c>
      <c r="AA136" s="47">
        <f>Português!AA136</f>
        <v>166238</v>
      </c>
      <c r="AB136" s="47">
        <f>Português!AB136</f>
        <v>169528</v>
      </c>
      <c r="AC136" s="47">
        <f>Português!AC136</f>
        <v>174778</v>
      </c>
      <c r="AD136" s="47">
        <f>Português!AD136</f>
        <v>155860</v>
      </c>
      <c r="AE136" s="47">
        <f>Português!AE136</f>
        <v>155431</v>
      </c>
      <c r="AF136" s="47">
        <f>Português!AF136</f>
        <v>156223</v>
      </c>
      <c r="AG136" s="47">
        <v>157546</v>
      </c>
      <c r="AH136" s="47">
        <v>138398</v>
      </c>
      <c r="AI136" s="47">
        <v>140079</v>
      </c>
      <c r="AJ136" s="47">
        <v>141460</v>
      </c>
      <c r="AK136" s="47">
        <v>141639</v>
      </c>
      <c r="AL136" s="47">
        <v>84212</v>
      </c>
      <c r="AM136" s="47">
        <v>86199</v>
      </c>
    </row>
    <row r="137" spans="2:39">
      <c r="B137" s="16" t="s">
        <v>143</v>
      </c>
      <c r="D137" s="47">
        <f>Português!D137</f>
        <v>132465</v>
      </c>
      <c r="E137" s="47">
        <f>Português!E137</f>
        <v>139016</v>
      </c>
      <c r="F137" s="47">
        <f>Português!F137</f>
        <v>115825</v>
      </c>
      <c r="G137" s="47">
        <f>Português!G137</f>
        <v>192471</v>
      </c>
      <c r="H137" s="47">
        <f>Português!H137</f>
        <v>254591</v>
      </c>
      <c r="I137" s="47">
        <f>Português!I137</f>
        <v>255417</v>
      </c>
      <c r="J137" s="47">
        <v>107212</v>
      </c>
      <c r="K137" s="47">
        <v>110241</v>
      </c>
      <c r="L137" s="47">
        <v>126935</v>
      </c>
      <c r="M137" s="48"/>
      <c r="N137" s="47">
        <f>Português!N137</f>
        <v>136889</v>
      </c>
      <c r="O137" s="47">
        <f>Português!O137</f>
        <v>134384</v>
      </c>
      <c r="P137" s="47">
        <f>Português!P137</f>
        <v>101037</v>
      </c>
      <c r="Q137" s="47">
        <f>Português!Q137</f>
        <v>115825</v>
      </c>
      <c r="R137" s="47">
        <f>Português!R137</f>
        <v>114848</v>
      </c>
      <c r="S137" s="47">
        <f>Português!S137</f>
        <v>116854</v>
      </c>
      <c r="T137" s="47">
        <f>Português!T137</f>
        <v>114099</v>
      </c>
      <c r="U137" s="47">
        <f>Português!U137</f>
        <v>192471</v>
      </c>
      <c r="V137" s="47">
        <f>Português!V137</f>
        <v>200863</v>
      </c>
      <c r="W137" s="47">
        <f>Português!W137</f>
        <v>207833.182</v>
      </c>
      <c r="X137" s="47">
        <f>Português!X137</f>
        <v>218427</v>
      </c>
      <c r="Y137" s="47">
        <f>Português!Y137</f>
        <v>254591</v>
      </c>
      <c r="Z137" s="47">
        <f>Português!Z137</f>
        <v>261705</v>
      </c>
      <c r="AA137" s="47">
        <f>Português!AA137</f>
        <v>262287</v>
      </c>
      <c r="AB137" s="47">
        <f>Português!AB137</f>
        <v>264156</v>
      </c>
      <c r="AC137" s="47">
        <f>Português!AC137</f>
        <v>255417</v>
      </c>
      <c r="AD137" s="47">
        <f>Português!AD137</f>
        <v>259392</v>
      </c>
      <c r="AE137" s="47">
        <f>Português!AE137</f>
        <v>195584</v>
      </c>
      <c r="AF137" s="47">
        <f>Português!AF137</f>
        <v>105131</v>
      </c>
      <c r="AG137" s="47">
        <v>107212</v>
      </c>
      <c r="AH137" s="47">
        <v>107139</v>
      </c>
      <c r="AI137" s="47">
        <v>111071</v>
      </c>
      <c r="AJ137" s="47">
        <v>113919</v>
      </c>
      <c r="AK137" s="47">
        <v>110241</v>
      </c>
      <c r="AL137" s="47">
        <v>126935</v>
      </c>
      <c r="AM137" s="47">
        <v>121562</v>
      </c>
    </row>
    <row r="138" spans="2:39">
      <c r="B138" s="16" t="s">
        <v>144</v>
      </c>
      <c r="D138" s="47">
        <f>Português!D138</f>
        <v>0</v>
      </c>
      <c r="E138" s="47">
        <f>Português!E138</f>
        <v>0</v>
      </c>
      <c r="F138" s="47">
        <f>Português!F138</f>
        <v>0</v>
      </c>
      <c r="G138" s="47">
        <f>Português!G138</f>
        <v>11344</v>
      </c>
      <c r="H138" s="47">
        <f>Português!H138</f>
        <v>8589</v>
      </c>
      <c r="I138" s="47">
        <f>Português!I138</f>
        <v>9942</v>
      </c>
      <c r="J138" s="47">
        <v>9725</v>
      </c>
      <c r="K138" s="47">
        <v>8549</v>
      </c>
      <c r="L138" s="47">
        <v>8364</v>
      </c>
      <c r="M138" s="48"/>
      <c r="N138" s="47">
        <f>Português!N138</f>
        <v>448</v>
      </c>
      <c r="O138" s="47">
        <f>Português!O138</f>
        <v>880</v>
      </c>
      <c r="P138" s="47">
        <f>Português!P138</f>
        <v>1407</v>
      </c>
      <c r="Q138" s="47">
        <f>Português!Q138</f>
        <v>0</v>
      </c>
      <c r="R138" s="47">
        <f>Português!R138</f>
        <v>1443</v>
      </c>
      <c r="S138" s="47">
        <f>Português!S138</f>
        <v>3669</v>
      </c>
      <c r="T138" s="47">
        <f>Português!T138</f>
        <v>14421</v>
      </c>
      <c r="U138" s="47">
        <f>Português!U138</f>
        <v>11344</v>
      </c>
      <c r="V138" s="47">
        <f>Português!V138</f>
        <v>12526</v>
      </c>
      <c r="W138" s="47">
        <f>Português!W138</f>
        <v>9556.2829899999997</v>
      </c>
      <c r="X138" s="47">
        <f>Português!X138</f>
        <v>8858</v>
      </c>
      <c r="Y138" s="47">
        <f>Português!Y138</f>
        <v>8589</v>
      </c>
      <c r="Z138" s="47">
        <f>Português!Z138</f>
        <v>6500</v>
      </c>
      <c r="AA138" s="47">
        <f>Português!AA138</f>
        <v>8775</v>
      </c>
      <c r="AB138" s="47">
        <f>Português!AB138</f>
        <v>9106</v>
      </c>
      <c r="AC138" s="47">
        <f>Português!AC138</f>
        <v>9942</v>
      </c>
      <c r="AD138" s="47">
        <f>Português!AD138</f>
        <v>10232</v>
      </c>
      <c r="AE138" s="47">
        <f>Português!AE138</f>
        <v>11807</v>
      </c>
      <c r="AF138" s="47">
        <f>Português!AF138</f>
        <v>12058</v>
      </c>
      <c r="AG138" s="47">
        <v>9725</v>
      </c>
      <c r="AH138" s="47">
        <v>9230</v>
      </c>
      <c r="AI138" s="47">
        <v>8756</v>
      </c>
      <c r="AJ138" s="47">
        <v>7801</v>
      </c>
      <c r="AK138" s="47">
        <v>8549</v>
      </c>
      <c r="AL138" s="47">
        <v>8364</v>
      </c>
      <c r="AM138" s="47">
        <v>8060</v>
      </c>
    </row>
    <row r="139" spans="2:39">
      <c r="B139" s="33" t="s">
        <v>145</v>
      </c>
      <c r="D139" s="51">
        <f>SUM(D129:D138)</f>
        <v>279691</v>
      </c>
      <c r="E139" s="51">
        <f t="shared" ref="E139:F139" si="281">SUM(E129:E138)</f>
        <v>298568</v>
      </c>
      <c r="F139" s="51">
        <f t="shared" si="281"/>
        <v>495107</v>
      </c>
      <c r="G139" s="51">
        <f t="shared" ref="G139:H139" si="282">SUM(G129:G138)</f>
        <v>2061130</v>
      </c>
      <c r="H139" s="51">
        <f t="shared" si="282"/>
        <v>2787109</v>
      </c>
      <c r="I139" s="51">
        <f t="shared" ref="I139" si="283">SUM(I129:I138)</f>
        <v>2931652</v>
      </c>
      <c r="J139" s="51">
        <v>2397003</v>
      </c>
      <c r="K139" s="51">
        <v>2344209</v>
      </c>
      <c r="L139" s="51">
        <v>2302063</v>
      </c>
      <c r="M139" s="48"/>
      <c r="N139" s="51" t="e">
        <f t="shared" ref="N139" si="284">SUM(N129:N138)</f>
        <v>#REF!</v>
      </c>
      <c r="O139" s="51">
        <f t="shared" ref="O139:P139" si="285">SUM(O129:O138)</f>
        <v>320173</v>
      </c>
      <c r="P139" s="51">
        <f t="shared" si="285"/>
        <v>314656</v>
      </c>
      <c r="Q139" s="51">
        <f t="shared" ref="Q139:U139" si="286">SUM(Q129:Q138)</f>
        <v>495107</v>
      </c>
      <c r="R139" s="51">
        <f t="shared" si="286"/>
        <v>658711</v>
      </c>
      <c r="S139" s="51">
        <f t="shared" si="286"/>
        <v>713568</v>
      </c>
      <c r="T139" s="51">
        <f t="shared" si="286"/>
        <v>691497</v>
      </c>
      <c r="U139" s="51">
        <f t="shared" si="286"/>
        <v>2061130</v>
      </c>
      <c r="V139" s="51">
        <f t="shared" ref="V139:W139" si="287">SUM(V129:V138)</f>
        <v>2326988</v>
      </c>
      <c r="W139" s="51">
        <f t="shared" si="287"/>
        <v>2491228.4545800006</v>
      </c>
      <c r="X139" s="51">
        <f t="shared" ref="X139:Y139" si="288">SUM(X129:X138)</f>
        <v>2670189</v>
      </c>
      <c r="Y139" s="51">
        <f t="shared" si="288"/>
        <v>2787109</v>
      </c>
      <c r="Z139" s="51">
        <f t="shared" ref="Z139:AA139" si="289">SUM(Z129:Z138)</f>
        <v>2810158</v>
      </c>
      <c r="AA139" s="51">
        <f t="shared" si="289"/>
        <v>2903912</v>
      </c>
      <c r="AB139" s="51">
        <f t="shared" ref="AB139:AC139" si="290">SUM(AB129:AB138)</f>
        <v>2920703</v>
      </c>
      <c r="AC139" s="51">
        <f t="shared" si="290"/>
        <v>2931652</v>
      </c>
      <c r="AD139" s="51">
        <f t="shared" ref="AD139:AE139" si="291">SUM(AD129:AD138)</f>
        <v>2928194</v>
      </c>
      <c r="AE139" s="51">
        <f t="shared" si="291"/>
        <v>2499285</v>
      </c>
      <c r="AF139" s="51">
        <f t="shared" ref="AF139" si="292">SUM(AF129:AF138)</f>
        <v>2474679</v>
      </c>
      <c r="AG139" s="51">
        <v>2397003</v>
      </c>
      <c r="AH139" s="51">
        <v>2377832</v>
      </c>
      <c r="AI139" s="51">
        <v>2372627</v>
      </c>
      <c r="AJ139" s="51">
        <v>2373263</v>
      </c>
      <c r="AK139" s="51">
        <v>2344209</v>
      </c>
      <c r="AL139" s="51">
        <v>2302063</v>
      </c>
      <c r="AM139" s="51">
        <v>2329127</v>
      </c>
    </row>
    <row r="140" spans="2:39">
      <c r="B140" s="35" t="s">
        <v>149</v>
      </c>
      <c r="D140" s="47"/>
      <c r="E140" s="47"/>
      <c r="F140" s="47"/>
      <c r="G140" s="47"/>
      <c r="H140" s="47"/>
      <c r="I140" s="47"/>
      <c r="J140" s="47">
        <v>0</v>
      </c>
      <c r="K140" s="46"/>
      <c r="L140" s="46"/>
      <c r="M140" s="48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G140" s="46"/>
      <c r="AH140" s="46">
        <v>0</v>
      </c>
      <c r="AI140" s="46"/>
      <c r="AJ140" s="46"/>
      <c r="AK140" s="46"/>
      <c r="AL140" s="46"/>
      <c r="AM140" s="46"/>
    </row>
    <row r="141" spans="2:39">
      <c r="B141" s="32" t="s">
        <v>146</v>
      </c>
      <c r="D141" s="47">
        <f>Português!D141</f>
        <v>351045</v>
      </c>
      <c r="E141" s="47">
        <f>Português!E141</f>
        <v>351045</v>
      </c>
      <c r="F141" s="47">
        <f>Português!F141</f>
        <v>131837</v>
      </c>
      <c r="G141" s="47">
        <f>Português!G141</f>
        <v>1301019</v>
      </c>
      <c r="H141" s="47">
        <f>Português!H141</f>
        <v>1301019</v>
      </c>
      <c r="I141" s="47">
        <f>Português!I141</f>
        <v>1301019</v>
      </c>
      <c r="J141" s="47">
        <v>1301019</v>
      </c>
      <c r="K141" s="47">
        <v>1301019</v>
      </c>
      <c r="L141" s="47">
        <v>1301019</v>
      </c>
      <c r="M141" s="48"/>
      <c r="N141" s="47">
        <f>Português!N141</f>
        <v>351045</v>
      </c>
      <c r="O141" s="47">
        <f>Português!O141</f>
        <v>351045</v>
      </c>
      <c r="P141" s="47">
        <f>Português!P141</f>
        <v>351045</v>
      </c>
      <c r="Q141" s="47">
        <f>Português!Q141</f>
        <v>131837</v>
      </c>
      <c r="R141" s="47">
        <f>Português!R141</f>
        <v>131837</v>
      </c>
      <c r="S141" s="47">
        <f>Português!S141</f>
        <v>1273645</v>
      </c>
      <c r="T141" s="47">
        <f>Português!T141</f>
        <v>1273477</v>
      </c>
      <c r="U141" s="47">
        <f>Português!U141</f>
        <v>1301019</v>
      </c>
      <c r="V141" s="47">
        <f>Português!V141</f>
        <v>1301019</v>
      </c>
      <c r="W141" s="47">
        <f>Português!W141</f>
        <v>1301018.9999999995</v>
      </c>
      <c r="X141" s="47">
        <f>Português!X141</f>
        <v>1301019</v>
      </c>
      <c r="Y141" s="47">
        <f>Português!Y141</f>
        <v>1301019</v>
      </c>
      <c r="Z141" s="47">
        <f>Português!Z141</f>
        <v>1301019</v>
      </c>
      <c r="AA141" s="47">
        <f>Português!AA141</f>
        <v>1301019</v>
      </c>
      <c r="AB141" s="47">
        <f>Português!AB141</f>
        <v>1301019</v>
      </c>
      <c r="AC141" s="47">
        <f>Português!AC141</f>
        <v>1301019</v>
      </c>
      <c r="AD141" s="47">
        <f>Português!AD141</f>
        <v>1301019</v>
      </c>
      <c r="AE141" s="47">
        <f>Português!AE141</f>
        <v>1301019</v>
      </c>
      <c r="AF141" s="47">
        <f>Português!AF141</f>
        <v>1301019</v>
      </c>
      <c r="AG141" s="47">
        <v>1301019</v>
      </c>
      <c r="AH141" s="47">
        <v>1301019</v>
      </c>
      <c r="AI141" s="47">
        <v>1301019</v>
      </c>
      <c r="AJ141" s="47">
        <v>1301019</v>
      </c>
      <c r="AK141" s="47">
        <v>1301019</v>
      </c>
      <c r="AL141" s="47">
        <v>1301019</v>
      </c>
      <c r="AM141" s="47">
        <v>1301019</v>
      </c>
    </row>
    <row r="142" spans="2:39">
      <c r="B142" s="32" t="s">
        <v>206</v>
      </c>
      <c r="D142" s="47">
        <f>Português!D142</f>
        <v>0</v>
      </c>
      <c r="E142" s="47">
        <f>Português!E142</f>
        <v>0</v>
      </c>
      <c r="F142" s="47">
        <f>Português!F142</f>
        <v>0</v>
      </c>
      <c r="G142" s="47">
        <f>Português!G142</f>
        <v>378944</v>
      </c>
      <c r="H142" s="47">
        <f>Português!H142</f>
        <v>390648</v>
      </c>
      <c r="I142" s="47">
        <f>Português!I142</f>
        <v>376142</v>
      </c>
      <c r="J142" s="47">
        <v>186035</v>
      </c>
      <c r="K142" s="47">
        <v>140898</v>
      </c>
      <c r="L142" s="47">
        <v>174897</v>
      </c>
      <c r="M142" s="48"/>
      <c r="N142" s="47">
        <f>Português!N142</f>
        <v>0</v>
      </c>
      <c r="O142" s="47">
        <f>Português!O142</f>
        <v>0</v>
      </c>
      <c r="P142" s="47">
        <f>Português!P142</f>
        <v>0</v>
      </c>
      <c r="Q142" s="47">
        <f>Português!Q142</f>
        <v>0</v>
      </c>
      <c r="R142" s="47">
        <f>Português!R142</f>
        <v>0</v>
      </c>
      <c r="S142" s="47">
        <f>Português!S142</f>
        <v>2796</v>
      </c>
      <c r="T142" s="47">
        <f>Português!T142</f>
        <v>5612</v>
      </c>
      <c r="U142" s="47">
        <f>Português!U142</f>
        <v>378944</v>
      </c>
      <c r="V142" s="47">
        <f>Português!V142</f>
        <v>381830</v>
      </c>
      <c r="W142" s="47">
        <f>Português!W142</f>
        <v>384748</v>
      </c>
      <c r="X142" s="47">
        <f>Português!X142</f>
        <v>387698</v>
      </c>
      <c r="Y142" s="47">
        <f>Português!Y142</f>
        <v>390648</v>
      </c>
      <c r="Z142" s="47">
        <f>Português!Z142</f>
        <v>393534</v>
      </c>
      <c r="AA142" s="47">
        <f>Português!AA142</f>
        <v>370242</v>
      </c>
      <c r="AB142" s="47">
        <f>Português!AB142</f>
        <v>373192</v>
      </c>
      <c r="AC142" s="47">
        <f>Português!AC142</f>
        <v>376142</v>
      </c>
      <c r="AD142" s="47">
        <f>Português!AD142</f>
        <v>379060</v>
      </c>
      <c r="AE142" s="47">
        <f>Português!AE142</f>
        <v>380925</v>
      </c>
      <c r="AF142" s="47">
        <f>Português!AF142</f>
        <v>243467</v>
      </c>
      <c r="AG142" s="47">
        <v>186035</v>
      </c>
      <c r="AH142" s="47">
        <v>183915</v>
      </c>
      <c r="AI142" s="47">
        <v>200881</v>
      </c>
      <c r="AJ142" s="47">
        <v>202951</v>
      </c>
      <c r="AK142" s="47">
        <v>140898</v>
      </c>
      <c r="AL142" s="47">
        <v>174897</v>
      </c>
      <c r="AM142" s="47">
        <v>219222</v>
      </c>
    </row>
    <row r="143" spans="2:39">
      <c r="B143" s="31" t="s">
        <v>324</v>
      </c>
      <c r="D143" s="47">
        <f>Português!D143</f>
        <v>-31050</v>
      </c>
      <c r="E143" s="47">
        <f>Português!E143</f>
        <v>-31050</v>
      </c>
      <c r="F143" s="47">
        <f>Português!F143</f>
        <v>0</v>
      </c>
      <c r="G143" s="47">
        <f>Português!G143</f>
        <v>239725</v>
      </c>
      <c r="H143" s="47">
        <f>Português!H143</f>
        <v>306120</v>
      </c>
      <c r="I143" s="47">
        <f>Português!I143</f>
        <v>397054</v>
      </c>
      <c r="J143" s="47">
        <v>57875</v>
      </c>
      <c r="K143" s="47">
        <v>90659</v>
      </c>
      <c r="L143" s="47">
        <v>90659</v>
      </c>
      <c r="M143" s="48"/>
      <c r="N143" s="47">
        <f>Português!N143</f>
        <v>-31050</v>
      </c>
      <c r="O143" s="47">
        <f>Português!O143</f>
        <v>-31050</v>
      </c>
      <c r="P143" s="47">
        <f>Português!P143</f>
        <v>-31050</v>
      </c>
      <c r="Q143" s="47">
        <f>Português!Q143</f>
        <v>0</v>
      </c>
      <c r="R143" s="47">
        <f>Português!R143</f>
        <v>0</v>
      </c>
      <c r="S143" s="47">
        <f>Português!S143</f>
        <v>0</v>
      </c>
      <c r="T143" s="47">
        <f>Português!T143</f>
        <v>0</v>
      </c>
      <c r="U143" s="47">
        <f>Português!U143</f>
        <v>239725</v>
      </c>
      <c r="V143" s="47">
        <f>Português!V143</f>
        <v>266310</v>
      </c>
      <c r="W143" s="47">
        <f>Português!W143</f>
        <v>295531.46000000008</v>
      </c>
      <c r="X143" s="47">
        <f>Português!X143</f>
        <v>329256</v>
      </c>
      <c r="Y143" s="47">
        <f>Português!Y143</f>
        <v>306120</v>
      </c>
      <c r="Z143" s="47">
        <f>Português!Z143</f>
        <v>333333</v>
      </c>
      <c r="AA143" s="47">
        <f>Português!AA143</f>
        <v>371425</v>
      </c>
      <c r="AB143" s="47">
        <f>Português!AB143</f>
        <v>399973</v>
      </c>
      <c r="AC143" s="47">
        <f>Português!AC143</f>
        <v>397054</v>
      </c>
      <c r="AD143" s="47">
        <f>Português!AD143</f>
        <v>439237</v>
      </c>
      <c r="AE143" s="47">
        <f>Português!AE143</f>
        <v>-25594</v>
      </c>
      <c r="AF143" s="47">
        <f>Português!AF143</f>
        <v>49605</v>
      </c>
      <c r="AG143" s="47">
        <v>57875</v>
      </c>
      <c r="AH143" s="47">
        <v>57875</v>
      </c>
      <c r="AI143" s="47">
        <v>41538</v>
      </c>
      <c r="AJ143" s="47">
        <v>41537</v>
      </c>
      <c r="AK143" s="47">
        <v>90659</v>
      </c>
      <c r="AL143" s="47">
        <v>90659</v>
      </c>
      <c r="AM143" s="47">
        <v>90367.999999999985</v>
      </c>
    </row>
    <row r="144" spans="2:39">
      <c r="B144" s="32" t="s">
        <v>147</v>
      </c>
      <c r="D144" s="47">
        <f>Português!D144</f>
        <v>60125</v>
      </c>
      <c r="E144" s="47">
        <f>Português!E144</f>
        <v>57613</v>
      </c>
      <c r="F144" s="47">
        <f>Português!F144</f>
        <v>0</v>
      </c>
      <c r="G144" s="47">
        <f>Português!G144</f>
        <v>0</v>
      </c>
      <c r="H144" s="47">
        <f>Português!H144</f>
        <v>-1962</v>
      </c>
      <c r="I144" s="47">
        <f>Português!I144</f>
        <v>-1962</v>
      </c>
      <c r="J144" s="47">
        <v>-16302</v>
      </c>
      <c r="K144" s="47">
        <v>-6303</v>
      </c>
      <c r="L144" s="47">
        <v>-7577</v>
      </c>
      <c r="M144" s="48"/>
      <c r="N144" s="47">
        <f>Português!N144</f>
        <v>56984</v>
      </c>
      <c r="O144" s="47">
        <f>Português!O144</f>
        <v>56357</v>
      </c>
      <c r="P144" s="47">
        <f>Português!P144</f>
        <v>55728</v>
      </c>
      <c r="Q144" s="47">
        <f>Português!Q144</f>
        <v>0</v>
      </c>
      <c r="R144" s="47">
        <f>Português!R144</f>
        <v>0</v>
      </c>
      <c r="S144" s="47">
        <f>Português!S144</f>
        <v>0</v>
      </c>
      <c r="T144" s="47">
        <f>Português!T144</f>
        <v>0</v>
      </c>
      <c r="U144" s="47">
        <f>Português!U144</f>
        <v>0</v>
      </c>
      <c r="V144" s="47">
        <f>Português!V144</f>
        <v>0</v>
      </c>
      <c r="W144" s="47">
        <f>Português!W144</f>
        <v>0</v>
      </c>
      <c r="X144" s="47">
        <f>Português!X144</f>
        <v>0</v>
      </c>
      <c r="Y144" s="47">
        <f>Português!Y144</f>
        <v>-1962</v>
      </c>
      <c r="Z144" s="47">
        <f>Português!Z144</f>
        <v>-1962</v>
      </c>
      <c r="AA144" s="47">
        <f>Português!AA144</f>
        <v>-1962</v>
      </c>
      <c r="AB144" s="47">
        <f>Português!AB144</f>
        <v>-1962</v>
      </c>
      <c r="AC144" s="47">
        <f>Português!AC144</f>
        <v>-1962</v>
      </c>
      <c r="AD144" s="47">
        <f>Português!AD144</f>
        <v>-1962</v>
      </c>
      <c r="AE144" s="47">
        <f>Português!AE144</f>
        <v>-15801</v>
      </c>
      <c r="AF144" s="47">
        <f>Português!AF144</f>
        <v>-30119</v>
      </c>
      <c r="AG144" s="47">
        <v>-16302</v>
      </c>
      <c r="AH144" s="47">
        <v>-4934</v>
      </c>
      <c r="AI144" s="47">
        <v>-13978</v>
      </c>
      <c r="AJ144" s="47">
        <v>-2423</v>
      </c>
      <c r="AK144" s="47">
        <v>-6303</v>
      </c>
      <c r="AL144" s="47">
        <v>-7577</v>
      </c>
      <c r="AM144" s="47">
        <v>-12377</v>
      </c>
    </row>
    <row r="145" spans="2:39">
      <c r="B145" s="32" t="s">
        <v>327</v>
      </c>
      <c r="D145" s="47">
        <f>Português!D145</f>
        <v>360976</v>
      </c>
      <c r="E145" s="47">
        <f>Português!E145</f>
        <v>469164</v>
      </c>
      <c r="F145" s="47">
        <f>Português!F145</f>
        <v>129224</v>
      </c>
      <c r="G145" s="47">
        <f>Português!G145</f>
        <v>-279962</v>
      </c>
      <c r="H145" s="47">
        <f>Português!H145</f>
        <v>-378334</v>
      </c>
      <c r="I145" s="47">
        <f>Português!I145</f>
        <v>-417112</v>
      </c>
      <c r="J145" s="47">
        <v>-80192</v>
      </c>
      <c r="K145" s="47">
        <v>-61785</v>
      </c>
      <c r="L145" s="47">
        <v>-60219</v>
      </c>
      <c r="M145" s="48"/>
      <c r="N145" s="47">
        <f>Português!N145</f>
        <v>485190.25</v>
      </c>
      <c r="O145" s="47">
        <f>Português!O145</f>
        <v>492294</v>
      </c>
      <c r="P145" s="47">
        <f>Português!P145</f>
        <v>529517</v>
      </c>
      <c r="Q145" s="47">
        <f>Português!Q145</f>
        <v>129224</v>
      </c>
      <c r="R145" s="47">
        <f>Português!R145</f>
        <v>155678</v>
      </c>
      <c r="S145" s="47">
        <f>Português!S145</f>
        <v>208902.00000000003</v>
      </c>
      <c r="T145" s="47">
        <f>Português!T145</f>
        <v>252536.00000000003</v>
      </c>
      <c r="U145" s="47">
        <f>Português!U145</f>
        <v>-279962</v>
      </c>
      <c r="V145" s="47">
        <f>Português!V145</f>
        <v>-291524</v>
      </c>
      <c r="W145" s="47">
        <f>Português!W145</f>
        <v>-305802</v>
      </c>
      <c r="X145" s="47">
        <f>Português!X145</f>
        <v>-378789</v>
      </c>
      <c r="Y145" s="47">
        <f>Português!Y145</f>
        <v>-378334</v>
      </c>
      <c r="Z145" s="47">
        <f>Português!Z145</f>
        <v>-388393.23191042372</v>
      </c>
      <c r="AA145" s="47">
        <f>Português!AA145</f>
        <v>-393373</v>
      </c>
      <c r="AB145" s="47">
        <f>Português!AB145</f>
        <v>-409954</v>
      </c>
      <c r="AC145" s="47">
        <f>Português!AC145</f>
        <v>-417112</v>
      </c>
      <c r="AD145" s="47">
        <f>Português!AD145</f>
        <v>-435645</v>
      </c>
      <c r="AE145" s="47">
        <f>Português!AE145</f>
        <v>-88572</v>
      </c>
      <c r="AF145" s="47">
        <f>Português!AF145</f>
        <v>-90705</v>
      </c>
      <c r="AG145" s="47">
        <v>-80192</v>
      </c>
      <c r="AH145" s="47">
        <v>-83235</v>
      </c>
      <c r="AI145" s="47">
        <v>-77667</v>
      </c>
      <c r="AJ145" s="47">
        <v>-80269</v>
      </c>
      <c r="AK145" s="47">
        <v>-61785</v>
      </c>
      <c r="AL145" s="47">
        <v>-60219</v>
      </c>
      <c r="AM145" s="47">
        <v>-105414</v>
      </c>
    </row>
    <row r="146" spans="2:39">
      <c r="B146" s="33" t="s">
        <v>150</v>
      </c>
      <c r="D146" s="51">
        <f t="shared" ref="D146:I146" si="293">SUM(D140:D145)</f>
        <v>741096</v>
      </c>
      <c r="E146" s="51">
        <f t="shared" si="293"/>
        <v>846772</v>
      </c>
      <c r="F146" s="51">
        <f t="shared" si="293"/>
        <v>261061</v>
      </c>
      <c r="G146" s="51">
        <f t="shared" si="293"/>
        <v>1639726</v>
      </c>
      <c r="H146" s="51">
        <f t="shared" si="293"/>
        <v>1617491</v>
      </c>
      <c r="I146" s="51">
        <f t="shared" si="293"/>
        <v>1655141</v>
      </c>
      <c r="J146" s="51">
        <v>1448435</v>
      </c>
      <c r="K146" s="51">
        <v>1464488</v>
      </c>
      <c r="L146" s="51">
        <v>1498779</v>
      </c>
      <c r="M146" s="48"/>
      <c r="N146" s="51">
        <f t="shared" ref="N146:AD146" si="294">SUM(N140:N145)</f>
        <v>862169.25</v>
      </c>
      <c r="O146" s="51">
        <f t="shared" si="294"/>
        <v>868646</v>
      </c>
      <c r="P146" s="51">
        <f t="shared" si="294"/>
        <v>905240</v>
      </c>
      <c r="Q146" s="51">
        <f t="shared" si="294"/>
        <v>261061</v>
      </c>
      <c r="R146" s="51">
        <f t="shared" si="294"/>
        <v>287515</v>
      </c>
      <c r="S146" s="51">
        <f t="shared" si="294"/>
        <v>1485343</v>
      </c>
      <c r="T146" s="51">
        <f t="shared" si="294"/>
        <v>1531625</v>
      </c>
      <c r="U146" s="51">
        <f t="shared" si="294"/>
        <v>1639726</v>
      </c>
      <c r="V146" s="51">
        <f t="shared" si="294"/>
        <v>1657635</v>
      </c>
      <c r="W146" s="51">
        <f t="shared" si="294"/>
        <v>1675496.4599999995</v>
      </c>
      <c r="X146" s="51">
        <f t="shared" si="294"/>
        <v>1639184</v>
      </c>
      <c r="Y146" s="51">
        <f t="shared" si="294"/>
        <v>1617491</v>
      </c>
      <c r="Z146" s="51">
        <f t="shared" si="294"/>
        <v>1637530.7680895762</v>
      </c>
      <c r="AA146" s="51">
        <f t="shared" si="294"/>
        <v>1647351</v>
      </c>
      <c r="AB146" s="51">
        <f t="shared" si="294"/>
        <v>1662268</v>
      </c>
      <c r="AC146" s="51">
        <f t="shared" si="294"/>
        <v>1655141</v>
      </c>
      <c r="AD146" s="51">
        <f t="shared" si="294"/>
        <v>1681709</v>
      </c>
      <c r="AE146" s="51">
        <f t="shared" ref="AE146:AF146" si="295">SUM(AE140:AE145)</f>
        <v>1551977</v>
      </c>
      <c r="AF146" s="51">
        <f t="shared" si="295"/>
        <v>1473267</v>
      </c>
      <c r="AG146" s="51">
        <v>1448435</v>
      </c>
      <c r="AH146" s="51">
        <v>1454640</v>
      </c>
      <c r="AI146" s="51">
        <v>1451793</v>
      </c>
      <c r="AJ146" s="51">
        <v>1462815</v>
      </c>
      <c r="AK146" s="51">
        <v>1464488</v>
      </c>
      <c r="AL146" s="51">
        <v>1498779</v>
      </c>
      <c r="AM146" s="51">
        <v>1492818</v>
      </c>
    </row>
    <row r="147" spans="2:39">
      <c r="B147" s="16" t="s">
        <v>278</v>
      </c>
      <c r="D147" s="47">
        <f>Português!D147</f>
        <v>0</v>
      </c>
      <c r="E147" s="47">
        <f>Português!E147</f>
        <v>0</v>
      </c>
      <c r="F147" s="47">
        <f>Português!F147</f>
        <v>0</v>
      </c>
      <c r="G147" s="47">
        <f>Português!G147</f>
        <v>43439</v>
      </c>
      <c r="H147" s="47">
        <f>Português!H147</f>
        <v>85131</v>
      </c>
      <c r="I147" s="47">
        <f>Português!I147</f>
        <v>99083</v>
      </c>
      <c r="J147" s="47">
        <v>27990</v>
      </c>
      <c r="K147" s="47">
        <v>13085.942769316896</v>
      </c>
      <c r="L147" s="47">
        <v>12921</v>
      </c>
      <c r="M147" s="48"/>
      <c r="N147" s="47">
        <f>Português!N147</f>
        <v>0</v>
      </c>
      <c r="O147" s="47">
        <f>Português!O147</f>
        <v>0</v>
      </c>
      <c r="P147" s="47">
        <f>Português!P147</f>
        <v>0</v>
      </c>
      <c r="Q147" s="47">
        <f>Português!Q147</f>
        <v>0</v>
      </c>
      <c r="R147" s="47">
        <f>Português!R147</f>
        <v>0</v>
      </c>
      <c r="S147" s="47">
        <f>Português!S147</f>
        <v>0</v>
      </c>
      <c r="T147" s="47">
        <f>Português!T147</f>
        <v>0</v>
      </c>
      <c r="U147" s="47">
        <f>Português!U147</f>
        <v>43439</v>
      </c>
      <c r="V147" s="47">
        <f>Português!V147</f>
        <v>53533</v>
      </c>
      <c r="W147" s="47">
        <f>Português!W147</f>
        <v>58382</v>
      </c>
      <c r="X147" s="47">
        <f>Português!X147</f>
        <v>74521</v>
      </c>
      <c r="Y147" s="47">
        <f>Português!Y147</f>
        <v>85131</v>
      </c>
      <c r="Z147" s="47">
        <f>Português!Z147</f>
        <v>88343</v>
      </c>
      <c r="AA147" s="47">
        <f>Português!AA147</f>
        <v>94011</v>
      </c>
      <c r="AB147" s="47">
        <f>Português!AB147</f>
        <v>100938</v>
      </c>
      <c r="AC147" s="47">
        <f>Português!AC147</f>
        <v>99083</v>
      </c>
      <c r="AD147" s="47">
        <f>Português!AD147</f>
        <v>104099</v>
      </c>
      <c r="AE147" s="47">
        <f>Português!AE147</f>
        <v>28430</v>
      </c>
      <c r="AF147" s="47">
        <f>Português!AF147</f>
        <v>28074</v>
      </c>
      <c r="AG147" s="47">
        <v>27990</v>
      </c>
      <c r="AH147" s="47">
        <v>30377</v>
      </c>
      <c r="AI147" s="47">
        <v>29239</v>
      </c>
      <c r="AJ147" s="47">
        <v>29867</v>
      </c>
      <c r="AK147" s="47">
        <v>13085.942769316896</v>
      </c>
      <c r="AL147" s="47">
        <v>12921</v>
      </c>
      <c r="AM147" s="47">
        <v>14470</v>
      </c>
    </row>
    <row r="148" spans="2:39">
      <c r="B148" s="33" t="s">
        <v>150</v>
      </c>
      <c r="D148" s="51">
        <f>D147+D146</f>
        <v>741096</v>
      </c>
      <c r="E148" s="51">
        <f t="shared" ref="E148:G148" si="296">E147+E146</f>
        <v>846772</v>
      </c>
      <c r="F148" s="51">
        <f t="shared" si="296"/>
        <v>261061</v>
      </c>
      <c r="G148" s="51">
        <f t="shared" si="296"/>
        <v>1683165</v>
      </c>
      <c r="H148" s="51">
        <f t="shared" ref="H148:I148" si="297">H147+H146</f>
        <v>1702622</v>
      </c>
      <c r="I148" s="51">
        <f t="shared" si="297"/>
        <v>1754224</v>
      </c>
      <c r="J148" s="51">
        <v>1476425</v>
      </c>
      <c r="K148" s="51">
        <v>1477573.942769317</v>
      </c>
      <c r="L148" s="51">
        <v>1511700</v>
      </c>
      <c r="M148" s="48"/>
      <c r="N148" s="51">
        <f t="shared" ref="N148" si="298">N147+N146</f>
        <v>862169.25</v>
      </c>
      <c r="O148" s="51">
        <f t="shared" ref="O148" si="299">O147+O146</f>
        <v>868646</v>
      </c>
      <c r="P148" s="51">
        <f t="shared" ref="P148" si="300">P147+P146</f>
        <v>905240</v>
      </c>
      <c r="Q148" s="51">
        <f t="shared" ref="Q148" si="301">Q147+Q146</f>
        <v>261061</v>
      </c>
      <c r="R148" s="51">
        <f t="shared" ref="R148" si="302">R147+R146</f>
        <v>287515</v>
      </c>
      <c r="S148" s="51">
        <f t="shared" ref="S148" si="303">S147+S146</f>
        <v>1485343</v>
      </c>
      <c r="T148" s="51">
        <f t="shared" ref="T148" si="304">T147+T146</f>
        <v>1531625</v>
      </c>
      <c r="U148" s="51">
        <f t="shared" ref="U148:V148" si="305">U147+U146</f>
        <v>1683165</v>
      </c>
      <c r="V148" s="51">
        <f t="shared" si="305"/>
        <v>1711168</v>
      </c>
      <c r="W148" s="51">
        <f t="shared" ref="W148" si="306">W147+W146</f>
        <v>1733878.4599999995</v>
      </c>
      <c r="X148" s="51">
        <f t="shared" ref="X148:Y148" si="307">X147+X146</f>
        <v>1713705</v>
      </c>
      <c r="Y148" s="51">
        <f t="shared" si="307"/>
        <v>1702622</v>
      </c>
      <c r="Z148" s="51">
        <f t="shared" ref="Z148:AA148" si="308">Z147+Z146</f>
        <v>1725873.7680895762</v>
      </c>
      <c r="AA148" s="51">
        <f t="shared" si="308"/>
        <v>1741362</v>
      </c>
      <c r="AB148" s="51">
        <f t="shared" ref="AB148:AC148" si="309">AB147+AB146</f>
        <v>1763206</v>
      </c>
      <c r="AC148" s="51">
        <f t="shared" si="309"/>
        <v>1754224</v>
      </c>
      <c r="AD148" s="51">
        <f t="shared" ref="AD148:AE148" si="310">AD147+AD146</f>
        <v>1785808</v>
      </c>
      <c r="AE148" s="51">
        <f t="shared" si="310"/>
        <v>1580407</v>
      </c>
      <c r="AF148" s="51">
        <f t="shared" ref="AF148" si="311">AF147+AF146</f>
        <v>1501341</v>
      </c>
      <c r="AG148" s="51">
        <v>1476425</v>
      </c>
      <c r="AH148" s="51">
        <v>1485017</v>
      </c>
      <c r="AI148" s="51">
        <v>1481032</v>
      </c>
      <c r="AJ148" s="51">
        <v>1492682</v>
      </c>
      <c r="AK148" s="51">
        <v>1477573.942769317</v>
      </c>
      <c r="AL148" s="51">
        <v>1511700</v>
      </c>
      <c r="AM148" s="51">
        <v>1507288</v>
      </c>
    </row>
    <row r="149" spans="2:39">
      <c r="B149" s="34" t="s">
        <v>148</v>
      </c>
      <c r="D149" s="51">
        <f t="shared" ref="D149:I149" si="312">D148+D139+D128</f>
        <v>1198346</v>
      </c>
      <c r="E149" s="51">
        <f t="shared" si="312"/>
        <v>1320307</v>
      </c>
      <c r="F149" s="51">
        <f t="shared" si="312"/>
        <v>1183929</v>
      </c>
      <c r="G149" s="51">
        <f t="shared" si="312"/>
        <v>4090778</v>
      </c>
      <c r="H149" s="51">
        <f t="shared" si="312"/>
        <v>4933164</v>
      </c>
      <c r="I149" s="51">
        <f t="shared" si="312"/>
        <v>5171451</v>
      </c>
      <c r="J149" s="51">
        <v>4340852</v>
      </c>
      <c r="K149" s="51">
        <v>4312888.942769317</v>
      </c>
      <c r="L149" s="51">
        <v>4334970</v>
      </c>
      <c r="M149" s="48"/>
      <c r="N149" s="51" t="e">
        <f t="shared" ref="N149:AD149" si="313">N148+N139+N128</f>
        <v>#REF!</v>
      </c>
      <c r="O149" s="51">
        <f t="shared" si="313"/>
        <v>1374225</v>
      </c>
      <c r="P149" s="51">
        <f t="shared" si="313"/>
        <v>1361091</v>
      </c>
      <c r="Q149" s="51">
        <f t="shared" si="313"/>
        <v>1183929</v>
      </c>
      <c r="R149" s="51">
        <f t="shared" si="313"/>
        <v>1195334</v>
      </c>
      <c r="S149" s="51">
        <f t="shared" si="313"/>
        <v>2449311</v>
      </c>
      <c r="T149" s="51">
        <f t="shared" si="313"/>
        <v>2504341</v>
      </c>
      <c r="U149" s="51">
        <f t="shared" si="313"/>
        <v>4090778</v>
      </c>
      <c r="V149" s="51">
        <f t="shared" si="313"/>
        <v>4485932</v>
      </c>
      <c r="W149" s="51">
        <f t="shared" si="313"/>
        <v>4628625.6258900007</v>
      </c>
      <c r="X149" s="51">
        <f t="shared" si="313"/>
        <v>4823278</v>
      </c>
      <c r="Y149" s="51">
        <f t="shared" si="313"/>
        <v>4933164</v>
      </c>
      <c r="Z149" s="51">
        <f t="shared" si="313"/>
        <v>5013820.7680895757</v>
      </c>
      <c r="AA149" s="51">
        <f t="shared" si="313"/>
        <v>5083102</v>
      </c>
      <c r="AB149" s="51">
        <f t="shared" si="313"/>
        <v>5172372</v>
      </c>
      <c r="AC149" s="51">
        <f t="shared" si="313"/>
        <v>5171451</v>
      </c>
      <c r="AD149" s="51">
        <f t="shared" si="313"/>
        <v>5262841</v>
      </c>
      <c r="AE149" s="51">
        <f>AE148+AE139+AE128</f>
        <v>4928878</v>
      </c>
      <c r="AF149" s="51">
        <f>AF148+AF139+AF128</f>
        <v>4413599</v>
      </c>
      <c r="AG149" s="51">
        <v>4340852</v>
      </c>
      <c r="AH149" s="51">
        <v>4377367</v>
      </c>
      <c r="AI149" s="51">
        <v>4338669</v>
      </c>
      <c r="AJ149" s="51">
        <v>4400937</v>
      </c>
      <c r="AK149" s="51">
        <v>4312888.942769317</v>
      </c>
      <c r="AL149" s="51">
        <v>4334970</v>
      </c>
      <c r="AM149" s="51">
        <v>4380389</v>
      </c>
    </row>
    <row r="150" spans="2:39" ht="15.75">
      <c r="B150" s="2"/>
      <c r="D150" s="77">
        <f t="shared" ref="D150:I150" si="314">D149-D111</f>
        <v>0</v>
      </c>
      <c r="E150" s="77">
        <f t="shared" si="314"/>
        <v>0</v>
      </c>
      <c r="F150" s="77">
        <f t="shared" si="314"/>
        <v>0</v>
      </c>
      <c r="G150" s="77">
        <f t="shared" si="314"/>
        <v>0</v>
      </c>
      <c r="H150" s="77">
        <f t="shared" si="314"/>
        <v>0</v>
      </c>
      <c r="I150" s="77">
        <f t="shared" si="314"/>
        <v>0</v>
      </c>
      <c r="J150" s="77">
        <v>0</v>
      </c>
      <c r="K150" s="77"/>
      <c r="L150" s="77"/>
      <c r="N150" s="77" t="e">
        <f>N149-N111</f>
        <v>#REF!</v>
      </c>
      <c r="O150" s="77">
        <f>O149-O111</f>
        <v>0</v>
      </c>
      <c r="P150" s="77">
        <f>P149-P111</f>
        <v>0</v>
      </c>
      <c r="Q150" s="77">
        <f>Q149-Q111</f>
        <v>0</v>
      </c>
      <c r="R150" s="77"/>
      <c r="S150" s="77"/>
      <c r="T150" s="77"/>
      <c r="U150" s="77"/>
      <c r="V150" s="77"/>
      <c r="W150" s="77"/>
      <c r="X150" s="77"/>
      <c r="AA150" s="45"/>
      <c r="AB150" s="45"/>
      <c r="AG150" s="77"/>
      <c r="AH150" s="77"/>
      <c r="AI150" s="77"/>
      <c r="AJ150" s="77"/>
      <c r="AK150" s="77"/>
      <c r="AL150" s="77"/>
      <c r="AM150" s="77"/>
    </row>
    <row r="151" spans="2:39" ht="15.75" thickBot="1">
      <c r="B151" s="62" t="s">
        <v>171</v>
      </c>
      <c r="D151" s="66" t="str">
        <f>D84</f>
        <v>12/31/2018</v>
      </c>
      <c r="E151" s="66" t="str">
        <f>E84</f>
        <v>12/31/2019</v>
      </c>
      <c r="F151" s="66" t="str">
        <f>F84</f>
        <v>12/31/2020</v>
      </c>
      <c r="G151" s="66" t="str">
        <f>G84</f>
        <v>12/31/2021</v>
      </c>
      <c r="H151" s="66" t="str">
        <f>H84</f>
        <v>12/31/2022</v>
      </c>
      <c r="I151" s="66" t="s">
        <v>352</v>
      </c>
      <c r="J151" s="66" t="s">
        <v>388</v>
      </c>
      <c r="K151" s="99">
        <v>46022</v>
      </c>
      <c r="L151" s="99">
        <v>46203</v>
      </c>
      <c r="N151" s="66" t="str">
        <f t="shared" ref="N151:W151" si="315">N84</f>
        <v>03/31/2020</v>
      </c>
      <c r="O151" s="66" t="str">
        <f t="shared" si="315"/>
        <v>06/30/2020</v>
      </c>
      <c r="P151" s="66" t="str">
        <f t="shared" si="315"/>
        <v>09/30/2020</v>
      </c>
      <c r="Q151" s="66" t="str">
        <f t="shared" si="315"/>
        <v>12/31/2020</v>
      </c>
      <c r="R151" s="66" t="str">
        <f t="shared" si="315"/>
        <v>03/31/2021</v>
      </c>
      <c r="S151" s="66" t="str">
        <f t="shared" si="315"/>
        <v>06/30/2021</v>
      </c>
      <c r="T151" s="66" t="str">
        <f t="shared" si="315"/>
        <v>09/30/2021</v>
      </c>
      <c r="U151" s="66" t="str">
        <f t="shared" si="315"/>
        <v>12/31/2021</v>
      </c>
      <c r="V151" s="66" t="str">
        <f t="shared" si="315"/>
        <v>03/31/2022</v>
      </c>
      <c r="W151" s="66" t="str">
        <f t="shared" si="315"/>
        <v>03/31/2022</v>
      </c>
      <c r="X151" s="66" t="s">
        <v>320</v>
      </c>
      <c r="Y151" s="66" t="s">
        <v>331</v>
      </c>
      <c r="Z151" s="66" t="s">
        <v>339</v>
      </c>
      <c r="AA151" s="66" t="s">
        <v>342</v>
      </c>
      <c r="AB151" s="66" t="s">
        <v>345</v>
      </c>
      <c r="AC151" s="66" t="s">
        <v>352</v>
      </c>
      <c r="AD151" s="66" t="s">
        <v>355</v>
      </c>
      <c r="AE151" s="66" t="s">
        <v>364</v>
      </c>
      <c r="AF151" s="66" t="s">
        <v>376</v>
      </c>
      <c r="AG151" s="64" t="s">
        <v>388</v>
      </c>
      <c r="AH151" s="64" t="s">
        <v>394</v>
      </c>
      <c r="AI151" s="64" t="s">
        <v>397</v>
      </c>
      <c r="AJ151" s="99">
        <v>45930</v>
      </c>
      <c r="AK151" s="99">
        <v>46022</v>
      </c>
      <c r="AL151" s="99">
        <v>46112</v>
      </c>
      <c r="AM151" s="99">
        <v>46203</v>
      </c>
    </row>
    <row r="152" spans="2:39" ht="15.75" thickTop="1">
      <c r="B152" s="40" t="s">
        <v>229</v>
      </c>
      <c r="D152" s="55">
        <f>Português!D152</f>
        <v>28283</v>
      </c>
      <c r="E152" s="55">
        <f>Português!E152</f>
        <v>33051</v>
      </c>
      <c r="F152" s="55">
        <f>Português!F152</f>
        <v>239467</v>
      </c>
      <c r="G152" s="55">
        <f>Português!G152</f>
        <v>64047</v>
      </c>
      <c r="H152" s="55">
        <f>Português!H152</f>
        <v>52973</v>
      </c>
      <c r="I152" s="55">
        <f>Português!I152</f>
        <v>52205</v>
      </c>
      <c r="J152" s="55">
        <v>75897</v>
      </c>
      <c r="K152" s="55">
        <v>112332</v>
      </c>
      <c r="L152" s="55">
        <v>91935</v>
      </c>
      <c r="M152" s="48"/>
      <c r="N152" s="55">
        <f>Português!N152</f>
        <v>29530</v>
      </c>
      <c r="O152" s="55">
        <f>Português!O152</f>
        <v>41148</v>
      </c>
      <c r="P152" s="55">
        <f>Português!P152</f>
        <v>28182</v>
      </c>
      <c r="Q152" s="55">
        <f>Português!Q152</f>
        <v>239467</v>
      </c>
      <c r="R152" s="55">
        <f>Português!R152</f>
        <v>64863</v>
      </c>
      <c r="S152" s="55">
        <f>Português!S152</f>
        <v>60208</v>
      </c>
      <c r="T152" s="55">
        <f>Português!T152</f>
        <v>65913</v>
      </c>
      <c r="U152" s="55">
        <f>Português!U152</f>
        <v>64047</v>
      </c>
      <c r="V152" s="55">
        <f>Português!V152</f>
        <v>86698</v>
      </c>
      <c r="W152" s="55">
        <f>Português!W152</f>
        <v>69062.216</v>
      </c>
      <c r="X152" s="55">
        <f>Português!X152</f>
        <v>63477</v>
      </c>
      <c r="Y152" s="55">
        <f>Português!Y152</f>
        <v>52973</v>
      </c>
      <c r="Z152" s="55">
        <f>Português!Z152</f>
        <v>90479</v>
      </c>
      <c r="AA152" s="55">
        <f>Português!AA152</f>
        <v>56810</v>
      </c>
      <c r="AB152" s="55">
        <f>Português!AB152</f>
        <v>77414</v>
      </c>
      <c r="AC152" s="55">
        <f>Português!AC152</f>
        <v>52205</v>
      </c>
      <c r="AD152" s="55">
        <f>Português!AD152</f>
        <v>97921</v>
      </c>
      <c r="AE152" s="55">
        <f>Português!AE152</f>
        <v>75837</v>
      </c>
      <c r="AF152" s="55">
        <v>99719</v>
      </c>
      <c r="AG152" s="55">
        <v>75897</v>
      </c>
      <c r="AH152" s="55">
        <v>100691</v>
      </c>
      <c r="AI152" s="55">
        <v>76731</v>
      </c>
      <c r="AJ152" s="55">
        <f>AJ116</f>
        <v>89945</v>
      </c>
      <c r="AK152" s="55">
        <v>112332</v>
      </c>
      <c r="AL152" s="55">
        <v>91935</v>
      </c>
      <c r="AM152" s="55">
        <v>111041</v>
      </c>
    </row>
    <row r="153" spans="2:39">
      <c r="B153" s="41" t="s">
        <v>230</v>
      </c>
      <c r="D153" s="47">
        <f>Português!D153</f>
        <v>147226</v>
      </c>
      <c r="E153" s="47">
        <f>Português!E153</f>
        <v>157740</v>
      </c>
      <c r="F153" s="47">
        <f>Português!F153</f>
        <v>2772</v>
      </c>
      <c r="G153" s="47">
        <f>Português!G153</f>
        <v>1047261</v>
      </c>
      <c r="H153" s="47">
        <f>Português!H153</f>
        <v>1150207</v>
      </c>
      <c r="I153" s="47">
        <f>Português!I153</f>
        <v>1202660</v>
      </c>
      <c r="J153" s="47">
        <v>1347024</v>
      </c>
      <c r="K153" s="47">
        <v>1290122</v>
      </c>
      <c r="L153" s="47">
        <v>1273060</v>
      </c>
      <c r="M153" s="48"/>
      <c r="N153" s="47">
        <f>Português!N153</f>
        <v>186897</v>
      </c>
      <c r="O153" s="47">
        <f>Português!O153</f>
        <v>179825</v>
      </c>
      <c r="P153" s="47">
        <f>Português!P153</f>
        <v>191666</v>
      </c>
      <c r="Q153" s="47">
        <f>Português!Q153</f>
        <v>2772</v>
      </c>
      <c r="R153" s="47">
        <f>Português!R153</f>
        <v>165487</v>
      </c>
      <c r="S153" s="47">
        <f>Português!S153</f>
        <v>220497</v>
      </c>
      <c r="T153" s="47">
        <f>Português!T153</f>
        <v>192336</v>
      </c>
      <c r="U153" s="47">
        <f>Português!U153</f>
        <v>1047261</v>
      </c>
      <c r="V153" s="47">
        <f>Português!V153</f>
        <v>1102437</v>
      </c>
      <c r="W153" s="47">
        <f>Português!W153</f>
        <v>1098007.3670000001</v>
      </c>
      <c r="X153" s="47">
        <f>Português!X153</f>
        <v>1158679</v>
      </c>
      <c r="Y153" s="47">
        <f>Português!Y153</f>
        <v>1150207</v>
      </c>
      <c r="Z153" s="47">
        <f>Português!Z153</f>
        <v>1142639</v>
      </c>
      <c r="AA153" s="47">
        <f>Português!AA153</f>
        <v>1213206</v>
      </c>
      <c r="AB153" s="47">
        <f>Português!AB153</f>
        <v>1210208</v>
      </c>
      <c r="AC153" s="47">
        <f>Português!AC153</f>
        <v>1202660</v>
      </c>
      <c r="AD153" s="47">
        <f>Português!AD153</f>
        <v>1170357</v>
      </c>
      <c r="AE153" s="47">
        <f>Português!AE153</f>
        <v>1364845</v>
      </c>
      <c r="AF153" s="47">
        <v>1356412</v>
      </c>
      <c r="AG153" s="47">
        <v>1347024</v>
      </c>
      <c r="AH153" s="47">
        <v>1329427</v>
      </c>
      <c r="AI153" s="47">
        <v>1311259</v>
      </c>
      <c r="AJ153" s="47">
        <f>AJ130</f>
        <v>1300903</v>
      </c>
      <c r="AK153" s="47">
        <v>1290122</v>
      </c>
      <c r="AL153" s="47">
        <v>1273060</v>
      </c>
      <c r="AM153" s="47">
        <v>1253843</v>
      </c>
    </row>
    <row r="154" spans="2:39">
      <c r="B154" s="41" t="s">
        <v>126</v>
      </c>
      <c r="D154" s="47">
        <f>Português!D154</f>
        <v>0</v>
      </c>
      <c r="E154" s="47">
        <f>Português!E154</f>
        <v>0</v>
      </c>
      <c r="F154" s="47">
        <f>Português!F154</f>
        <v>-4585</v>
      </c>
      <c r="G154" s="47">
        <f>Português!G154</f>
        <v>-979</v>
      </c>
      <c r="H154" s="47">
        <f>Português!H154</f>
        <v>2620</v>
      </c>
      <c r="I154" s="47">
        <f>Português!I154</f>
        <v>-10854</v>
      </c>
      <c r="J154" s="47">
        <f>21430+J117</f>
        <v>23856</v>
      </c>
      <c r="K154" s="47">
        <v>22960</v>
      </c>
      <c r="L154" s="47">
        <v>19284</v>
      </c>
      <c r="M154" s="48"/>
      <c r="N154" s="47">
        <f>Português!N154</f>
        <v>0</v>
      </c>
      <c r="O154" s="47">
        <f>Português!O154</f>
        <v>0</v>
      </c>
      <c r="P154" s="47">
        <f>Português!P154</f>
        <v>0</v>
      </c>
      <c r="Q154" s="47">
        <f>Português!Q154</f>
        <v>0</v>
      </c>
      <c r="R154" s="47">
        <f>Português!R154</f>
        <v>-3923</v>
      </c>
      <c r="S154" s="47">
        <f>Português!S154</f>
        <v>-1225</v>
      </c>
      <c r="T154" s="47">
        <f>Português!T154</f>
        <v>-1208</v>
      </c>
      <c r="U154" s="47">
        <f>Português!U154</f>
        <v>-979</v>
      </c>
      <c r="V154" s="47">
        <f>Português!V154</f>
        <v>-258</v>
      </c>
      <c r="W154" s="47">
        <f>Português!W154</f>
        <v>-360</v>
      </c>
      <c r="X154" s="47">
        <f>Português!X154</f>
        <v>2819</v>
      </c>
      <c r="Y154" s="47">
        <f>Português!Y154</f>
        <v>2620</v>
      </c>
      <c r="Z154" s="47">
        <f>Português!Z154</f>
        <v>-4774</v>
      </c>
      <c r="AA154" s="47">
        <f>Português!AA154</f>
        <v>-13557</v>
      </c>
      <c r="AB154" s="47">
        <f>Português!AB154</f>
        <v>-259</v>
      </c>
      <c r="AC154" s="47">
        <f>Português!AC154</f>
        <v>-10854</v>
      </c>
      <c r="AD154" s="47">
        <f>Português!AD154</f>
        <v>-5400</v>
      </c>
      <c r="AE154" s="47">
        <f>Português!AE154</f>
        <v>8122</v>
      </c>
      <c r="AF154" s="47">
        <v>9918</v>
      </c>
      <c r="AG154" s="47">
        <v>23856</v>
      </c>
      <c r="AH154" s="47">
        <v>21245</v>
      </c>
      <c r="AI154" s="47">
        <v>21943</v>
      </c>
      <c r="AJ154" s="47">
        <f>-AJ91+AJ131+AJ117+AJ103</f>
        <v>26562</v>
      </c>
      <c r="AK154" s="47">
        <v>22960</v>
      </c>
      <c r="AL154" s="47">
        <v>19284</v>
      </c>
      <c r="AM154" s="47">
        <v>26301</v>
      </c>
    </row>
    <row r="155" spans="2:39">
      <c r="B155" s="42" t="s">
        <v>172</v>
      </c>
      <c r="D155" s="51">
        <f t="shared" ref="D155" si="316">SUM(D152:D154)</f>
        <v>175509</v>
      </c>
      <c r="E155" s="51">
        <f t="shared" ref="E155" si="317">SUM(E152:E154)</f>
        <v>190791</v>
      </c>
      <c r="F155" s="51">
        <f t="shared" ref="F155" si="318">SUM(F152:F154)</f>
        <v>237654</v>
      </c>
      <c r="G155" s="51">
        <f t="shared" ref="G155" si="319">SUM(G152:G154)</f>
        <v>1110329</v>
      </c>
      <c r="H155" s="51">
        <f t="shared" ref="H155" si="320">SUM(H152:H154)</f>
        <v>1205800</v>
      </c>
      <c r="I155" s="51">
        <f t="shared" ref="I155" si="321">SUM(I152:I154)</f>
        <v>1244011</v>
      </c>
      <c r="J155" s="51">
        <f>SUM(J152:J154)</f>
        <v>1446777</v>
      </c>
      <c r="K155" s="51">
        <v>1425414</v>
      </c>
      <c r="L155" s="51">
        <v>1384279</v>
      </c>
      <c r="M155" s="48"/>
      <c r="N155" s="51">
        <f t="shared" ref="N155" si="322">SUM(N152:N154)</f>
        <v>216427</v>
      </c>
      <c r="O155" s="51">
        <f t="shared" ref="O155" si="323">SUM(O152:O154)</f>
        <v>220973</v>
      </c>
      <c r="P155" s="51">
        <f t="shared" ref="P155" si="324">SUM(P152:P154)</f>
        <v>219848</v>
      </c>
      <c r="Q155" s="51">
        <f t="shared" ref="Q155" si="325">SUM(Q152:Q154)</f>
        <v>242239</v>
      </c>
      <c r="R155" s="51">
        <f t="shared" ref="R155" si="326">SUM(R152:R154)</f>
        <v>226427</v>
      </c>
      <c r="S155" s="51">
        <f t="shared" ref="S155" si="327">SUM(S152:S154)</f>
        <v>279480</v>
      </c>
      <c r="T155" s="51">
        <f t="shared" ref="T155" si="328">SUM(T152:T154)</f>
        <v>257041</v>
      </c>
      <c r="U155" s="51">
        <f t="shared" ref="U155" si="329">SUM(U152:U154)</f>
        <v>1110329</v>
      </c>
      <c r="V155" s="51">
        <f t="shared" ref="V155:AD155" si="330">SUM(V152:V154)</f>
        <v>1188877</v>
      </c>
      <c r="W155" s="51">
        <f t="shared" si="330"/>
        <v>1166709.5830000001</v>
      </c>
      <c r="X155" s="51">
        <f t="shared" si="330"/>
        <v>1224975</v>
      </c>
      <c r="Y155" s="51">
        <f t="shared" si="330"/>
        <v>1205800</v>
      </c>
      <c r="Z155" s="51">
        <f t="shared" si="330"/>
        <v>1228344</v>
      </c>
      <c r="AA155" s="51">
        <f t="shared" si="330"/>
        <v>1256459</v>
      </c>
      <c r="AB155" s="51">
        <f t="shared" si="330"/>
        <v>1287363</v>
      </c>
      <c r="AC155" s="51">
        <f t="shared" si="330"/>
        <v>1244011</v>
      </c>
      <c r="AD155" s="51">
        <f t="shared" si="330"/>
        <v>1262878</v>
      </c>
      <c r="AE155" s="51">
        <f>SUM(AE152:AE154)</f>
        <v>1448804</v>
      </c>
      <c r="AF155" s="51">
        <v>1466049</v>
      </c>
      <c r="AG155" s="51">
        <v>1446777</v>
      </c>
      <c r="AH155" s="51">
        <v>1451363</v>
      </c>
      <c r="AI155" s="51">
        <v>1409933</v>
      </c>
      <c r="AJ155" s="51">
        <f>SUM(AJ152:AJ154)</f>
        <v>1417410</v>
      </c>
      <c r="AK155" s="51">
        <v>1425414</v>
      </c>
      <c r="AL155" s="51">
        <v>1384279</v>
      </c>
      <c r="AM155" s="51">
        <v>1391185</v>
      </c>
    </row>
    <row r="156" spans="2:39">
      <c r="B156" s="41" t="s">
        <v>231</v>
      </c>
      <c r="D156" s="47">
        <f t="shared" ref="D156:I156" si="331">SUM(D87,D88)</f>
        <v>286284</v>
      </c>
      <c r="E156" s="47">
        <f t="shared" si="331"/>
        <v>261200</v>
      </c>
      <c r="F156" s="47">
        <f t="shared" si="331"/>
        <v>270810</v>
      </c>
      <c r="G156" s="47">
        <f t="shared" si="331"/>
        <v>1278567</v>
      </c>
      <c r="H156" s="47">
        <f t="shared" si="331"/>
        <v>378298</v>
      </c>
      <c r="I156" s="47">
        <f t="shared" si="331"/>
        <v>319133</v>
      </c>
      <c r="J156" s="47">
        <v>675316</v>
      </c>
      <c r="K156" s="47">
        <v>625458</v>
      </c>
      <c r="L156" s="47">
        <v>583971</v>
      </c>
      <c r="M156" s="48"/>
      <c r="N156" s="47">
        <f>SUM(N87,N88)</f>
        <v>297837</v>
      </c>
      <c r="O156" s="47">
        <f>SUM(O87,O88)</f>
        <v>311212</v>
      </c>
      <c r="P156" s="47">
        <f>SUM(P87,P88)</f>
        <v>281875</v>
      </c>
      <c r="Q156" s="47">
        <f>SUM(Q87,Q88)</f>
        <v>270810</v>
      </c>
      <c r="R156" s="47">
        <f>R87+R88</f>
        <v>227968</v>
      </c>
      <c r="S156" s="47">
        <f t="shared" ref="S156:AE156" si="332">SUM(S87,S88)</f>
        <v>1384498</v>
      </c>
      <c r="T156" s="47">
        <f t="shared" si="332"/>
        <v>1353457</v>
      </c>
      <c r="U156" s="47">
        <f t="shared" si="332"/>
        <v>1278567</v>
      </c>
      <c r="V156" s="47">
        <f t="shared" si="332"/>
        <v>858797</v>
      </c>
      <c r="W156" s="47">
        <f t="shared" si="332"/>
        <v>601829.27835000004</v>
      </c>
      <c r="X156" s="47">
        <f t="shared" si="332"/>
        <v>481535</v>
      </c>
      <c r="Y156" s="47">
        <f t="shared" si="332"/>
        <v>378298</v>
      </c>
      <c r="Z156" s="47">
        <f t="shared" si="332"/>
        <v>327753</v>
      </c>
      <c r="AA156" s="47">
        <f t="shared" si="332"/>
        <v>316864</v>
      </c>
      <c r="AB156" s="47">
        <f t="shared" si="332"/>
        <v>363736</v>
      </c>
      <c r="AC156" s="47">
        <f t="shared" si="332"/>
        <v>319133</v>
      </c>
      <c r="AD156" s="47">
        <f t="shared" si="332"/>
        <v>241575</v>
      </c>
      <c r="AE156" s="47">
        <f t="shared" si="332"/>
        <v>324581</v>
      </c>
      <c r="AF156" s="47">
        <v>755914</v>
      </c>
      <c r="AG156" s="47">
        <v>675316</v>
      </c>
      <c r="AH156" s="47">
        <v>670413</v>
      </c>
      <c r="AI156" s="47">
        <v>638213</v>
      </c>
      <c r="AJ156" s="47">
        <f>SUM(AJ87,AJ88)</f>
        <v>679543</v>
      </c>
      <c r="AK156" s="47">
        <v>625458</v>
      </c>
      <c r="AL156" s="47">
        <v>583971</v>
      </c>
      <c r="AM156" s="47">
        <v>627830</v>
      </c>
    </row>
    <row r="157" spans="2:39">
      <c r="B157" s="42" t="s">
        <v>173</v>
      </c>
      <c r="D157" s="51">
        <f t="shared" ref="D157:U157" si="333">D155-D156</f>
        <v>-110775</v>
      </c>
      <c r="E157" s="51">
        <f t="shared" si="333"/>
        <v>-70409</v>
      </c>
      <c r="F157" s="51">
        <f t="shared" si="333"/>
        <v>-33156</v>
      </c>
      <c r="G157" s="51">
        <f t="shared" ref="G157:H157" si="334">G155-G156</f>
        <v>-168238</v>
      </c>
      <c r="H157" s="51">
        <f t="shared" si="334"/>
        <v>827502</v>
      </c>
      <c r="I157" s="51">
        <f t="shared" ref="I157" si="335">I155-I156</f>
        <v>924878</v>
      </c>
      <c r="J157" s="51">
        <f>J155-J156</f>
        <v>771461</v>
      </c>
      <c r="K157" s="51">
        <v>799956</v>
      </c>
      <c r="L157" s="51">
        <v>800308</v>
      </c>
      <c r="M157" s="48"/>
      <c r="N157" s="51">
        <f t="shared" si="333"/>
        <v>-81410</v>
      </c>
      <c r="O157" s="51">
        <f t="shared" si="333"/>
        <v>-90239</v>
      </c>
      <c r="P157" s="51">
        <f t="shared" si="333"/>
        <v>-62027</v>
      </c>
      <c r="Q157" s="51">
        <f t="shared" ref="Q157" si="336">Q155-Q156</f>
        <v>-28571</v>
      </c>
      <c r="R157" s="51">
        <f t="shared" si="333"/>
        <v>-1541</v>
      </c>
      <c r="S157" s="51">
        <f t="shared" si="333"/>
        <v>-1105018</v>
      </c>
      <c r="T157" s="51">
        <f t="shared" si="333"/>
        <v>-1096416</v>
      </c>
      <c r="U157" s="51">
        <f t="shared" si="333"/>
        <v>-168238</v>
      </c>
      <c r="V157" s="51">
        <f t="shared" ref="V157:W157" si="337">V155-V156</f>
        <v>330080</v>
      </c>
      <c r="W157" s="51">
        <f t="shared" si="337"/>
        <v>564880.30465000006</v>
      </c>
      <c r="X157" s="51">
        <f t="shared" ref="X157:Y157" si="338">X155-X156</f>
        <v>743440</v>
      </c>
      <c r="Y157" s="51">
        <f t="shared" si="338"/>
        <v>827502</v>
      </c>
      <c r="Z157" s="51">
        <f t="shared" ref="Z157:AA157" si="339">Z155-Z156</f>
        <v>900591</v>
      </c>
      <c r="AA157" s="51">
        <f t="shared" si="339"/>
        <v>939595</v>
      </c>
      <c r="AB157" s="51">
        <f t="shared" ref="AB157:AC157" si="340">AB155-AB156</f>
        <v>923627</v>
      </c>
      <c r="AC157" s="51">
        <f t="shared" si="340"/>
        <v>924878</v>
      </c>
      <c r="AD157" s="51">
        <f t="shared" ref="AD157:AE157" si="341">AD155-AD156</f>
        <v>1021303</v>
      </c>
      <c r="AE157" s="51">
        <f t="shared" si="341"/>
        <v>1124223</v>
      </c>
      <c r="AF157" s="51">
        <v>710135</v>
      </c>
      <c r="AG157" s="51">
        <v>771461</v>
      </c>
      <c r="AH157" s="51">
        <v>780950</v>
      </c>
      <c r="AI157" s="51">
        <v>771720</v>
      </c>
      <c r="AJ157" s="51">
        <f>AJ155-AJ156</f>
        <v>737867</v>
      </c>
      <c r="AK157" s="51">
        <v>799956</v>
      </c>
      <c r="AL157" s="51">
        <v>800308</v>
      </c>
      <c r="AM157" s="51">
        <v>763355</v>
      </c>
    </row>
    <row r="158" spans="2:39" ht="15.75">
      <c r="B158" s="2"/>
      <c r="K158" s="52"/>
      <c r="L158" s="52"/>
      <c r="N158" s="1"/>
      <c r="O158" s="1"/>
      <c r="Z158" s="45"/>
      <c r="AA158" s="45"/>
      <c r="AB158" s="45"/>
      <c r="AG158"/>
    </row>
    <row r="159" spans="2:39" ht="15.75" thickBot="1">
      <c r="B159" s="62" t="s">
        <v>279</v>
      </c>
      <c r="D159" s="63">
        <f>D6</f>
        <v>2018</v>
      </c>
      <c r="E159" s="63">
        <f>E6</f>
        <v>2019</v>
      </c>
      <c r="F159" s="63">
        <f>F6</f>
        <v>2020</v>
      </c>
      <c r="G159" s="63">
        <f>G6</f>
        <v>2021</v>
      </c>
      <c r="H159" s="63">
        <v>2022</v>
      </c>
      <c r="I159" s="63">
        <v>2023</v>
      </c>
      <c r="J159" s="63">
        <v>2024</v>
      </c>
      <c r="K159" s="63">
        <v>2025</v>
      </c>
      <c r="L159" s="68" t="s">
        <v>412</v>
      </c>
      <c r="P159"/>
      <c r="Q159"/>
      <c r="R159"/>
      <c r="S159"/>
      <c r="T159"/>
      <c r="U159"/>
      <c r="W159"/>
      <c r="Z159" s="45"/>
      <c r="AA159" s="45"/>
      <c r="AB159" s="45"/>
    </row>
    <row r="160" spans="2:39" ht="15.75" thickTop="1">
      <c r="B160" s="36" t="s">
        <v>151</v>
      </c>
      <c r="D160" s="26"/>
      <c r="E160" s="26"/>
      <c r="F160" s="26"/>
      <c r="G160" s="26"/>
      <c r="H160" s="26"/>
      <c r="I160" s="26"/>
      <c r="J160" s="26"/>
      <c r="K160" s="26"/>
      <c r="L160" s="26"/>
      <c r="P160"/>
      <c r="Q160"/>
      <c r="R160"/>
      <c r="S160"/>
      <c r="T160"/>
      <c r="U160"/>
      <c r="V160"/>
      <c r="W160"/>
      <c r="Z160" s="45"/>
      <c r="AA160" s="45"/>
      <c r="AB160" s="45"/>
    </row>
    <row r="161" spans="2:28">
      <c r="B161" s="37" t="s">
        <v>233</v>
      </c>
      <c r="D161" s="46">
        <f>D44</f>
        <v>124434.65302999999</v>
      </c>
      <c r="E161" s="46">
        <f>E44</f>
        <v>138103.99999999994</v>
      </c>
      <c r="F161" s="46">
        <f>F44</f>
        <v>72643</v>
      </c>
      <c r="G161" s="46">
        <f>Português!G161</f>
        <v>146845.79999999999</v>
      </c>
      <c r="H161" s="46">
        <f>Português!H161</f>
        <v>122687</v>
      </c>
      <c r="I161" s="46">
        <f>Português!I161</f>
        <v>141247</v>
      </c>
      <c r="J161" s="46">
        <v>-323904</v>
      </c>
      <c r="K161" s="46">
        <v>111916</v>
      </c>
      <c r="L161" s="46">
        <v>77553</v>
      </c>
      <c r="M161" s="48"/>
      <c r="P161"/>
      <c r="Q161"/>
      <c r="R161"/>
      <c r="S161"/>
      <c r="T161"/>
      <c r="U161"/>
      <c r="V161"/>
      <c r="W161"/>
      <c r="Z161" s="45"/>
      <c r="AA161" s="45"/>
      <c r="AB161" s="45"/>
    </row>
    <row r="162" spans="2:28">
      <c r="B162" s="38" t="s">
        <v>152</v>
      </c>
      <c r="D162" s="56"/>
      <c r="E162" s="56"/>
      <c r="F162" s="56"/>
      <c r="G162" s="56"/>
      <c r="H162" s="56"/>
      <c r="I162" s="56"/>
      <c r="J162" s="56"/>
      <c r="K162" s="56"/>
      <c r="L162" s="56"/>
      <c r="M162" s="48"/>
      <c r="P162"/>
      <c r="Q162"/>
      <c r="R162"/>
      <c r="S162"/>
      <c r="T162"/>
      <c r="U162"/>
      <c r="V162"/>
      <c r="W162"/>
      <c r="Z162" s="45"/>
      <c r="AA162" s="45"/>
      <c r="AB162" s="45"/>
    </row>
    <row r="163" spans="2:28">
      <c r="B163" s="37" t="s">
        <v>106</v>
      </c>
      <c r="D163" s="47">
        <f>Português!D163</f>
        <v>36309</v>
      </c>
      <c r="E163" s="47">
        <f>Português!E163</f>
        <v>46887</v>
      </c>
      <c r="F163" s="47">
        <f>Português!F163</f>
        <v>38496</v>
      </c>
      <c r="G163" s="47">
        <f>Português!G163</f>
        <v>40778</v>
      </c>
      <c r="H163" s="47">
        <f>Português!H163</f>
        <v>90072</v>
      </c>
      <c r="I163" s="47">
        <f>Português!I163</f>
        <v>102002</v>
      </c>
      <c r="J163" s="47">
        <v>109041</v>
      </c>
      <c r="K163" s="46">
        <v>111105</v>
      </c>
      <c r="L163" s="46">
        <v>58212</v>
      </c>
      <c r="M163" s="48"/>
      <c r="P163"/>
      <c r="Q163"/>
      <c r="R163"/>
      <c r="S163"/>
      <c r="T163"/>
      <c r="U163"/>
      <c r="V163"/>
      <c r="W163"/>
      <c r="Z163" s="45"/>
      <c r="AA163" s="45"/>
      <c r="AB163" s="45"/>
    </row>
    <row r="164" spans="2:28">
      <c r="B164" s="37" t="s">
        <v>234</v>
      </c>
      <c r="D164" s="47">
        <f>Português!D164</f>
        <v>1947</v>
      </c>
      <c r="E164" s="47">
        <f>Português!E164</f>
        <v>1983</v>
      </c>
      <c r="F164" s="47">
        <f>Português!F164</f>
        <v>2815</v>
      </c>
      <c r="G164" s="47">
        <f>Português!G164</f>
        <v>1027</v>
      </c>
      <c r="H164" s="47">
        <f>Português!H164</f>
        <v>6801</v>
      </c>
      <c r="I164" s="47">
        <f>Português!I164</f>
        <v>2126</v>
      </c>
      <c r="J164" s="47">
        <v>426</v>
      </c>
      <c r="K164" s="46">
        <v>5556</v>
      </c>
      <c r="L164" s="46">
        <v>2345</v>
      </c>
    </row>
    <row r="165" spans="2:28">
      <c r="B165" s="37" t="s">
        <v>251</v>
      </c>
      <c r="D165" s="47">
        <f>Português!D165</f>
        <v>18762</v>
      </c>
      <c r="E165" s="47">
        <f>Português!E165</f>
        <v>9531</v>
      </c>
      <c r="F165" s="47">
        <f>Português!F165</f>
        <v>30875</v>
      </c>
      <c r="G165" s="47">
        <f>Português!G165</f>
        <v>12423</v>
      </c>
      <c r="H165" s="47">
        <f>Português!H165</f>
        <v>10988</v>
      </c>
      <c r="I165" s="47">
        <f>Português!I165</f>
        <v>17921</v>
      </c>
      <c r="J165" s="47">
        <v>26648</v>
      </c>
      <c r="K165" s="46">
        <v>17560</v>
      </c>
      <c r="L165" s="46">
        <v>12913</v>
      </c>
    </row>
    <row r="166" spans="2:28">
      <c r="B166" s="37" t="s">
        <v>305</v>
      </c>
      <c r="D166" s="47">
        <f>Português!D166</f>
        <v>0</v>
      </c>
      <c r="E166" s="47">
        <f>Português!E166</f>
        <v>1386</v>
      </c>
      <c r="F166" s="47">
        <f>Português!F166</f>
        <v>14422</v>
      </c>
      <c r="G166" s="47">
        <f>Português!G166</f>
        <v>7114</v>
      </c>
      <c r="H166" s="47">
        <f>Português!H166</f>
        <v>37815</v>
      </c>
      <c r="I166" s="47">
        <f>Português!I166</f>
        <v>48011</v>
      </c>
      <c r="J166" s="47">
        <v>41588</v>
      </c>
      <c r="K166" s="46">
        <v>37628</v>
      </c>
      <c r="L166" s="46">
        <v>45650</v>
      </c>
    </row>
    <row r="167" spans="2:28">
      <c r="B167" s="37" t="s">
        <v>235</v>
      </c>
      <c r="D167" s="47">
        <f>Português!D167</f>
        <v>17073</v>
      </c>
      <c r="E167" s="47">
        <f>Português!E167</f>
        <v>2863</v>
      </c>
      <c r="F167" s="47">
        <f>Português!F167</f>
        <v>24350</v>
      </c>
      <c r="G167" s="47">
        <f>Português!G167</f>
        <v>18344</v>
      </c>
      <c r="H167" s="47">
        <f>Português!H167</f>
        <v>10404</v>
      </c>
      <c r="I167" s="47">
        <f>Português!I167</f>
        <v>-834</v>
      </c>
      <c r="J167" s="47">
        <v>-83216</v>
      </c>
      <c r="K167" s="46">
        <v>9101</v>
      </c>
      <c r="L167" s="46">
        <v>-2904</v>
      </c>
    </row>
    <row r="168" spans="2:28">
      <c r="B168" s="37" t="s">
        <v>207</v>
      </c>
      <c r="D168" s="47">
        <f>Português!D168</f>
        <v>0</v>
      </c>
      <c r="E168" s="47">
        <f>Português!E168</f>
        <v>0</v>
      </c>
      <c r="F168" s="47">
        <f>Português!F168</f>
        <v>0</v>
      </c>
      <c r="G168" s="47">
        <f>Português!G168</f>
        <v>8562</v>
      </c>
      <c r="H168" s="47">
        <f>Português!H168</f>
        <v>11704</v>
      </c>
      <c r="I168" s="47">
        <f>Português!I168</f>
        <v>11704</v>
      </c>
      <c r="J168" s="47">
        <v>8323</v>
      </c>
      <c r="K168" s="46">
        <v>4251</v>
      </c>
      <c r="L168" s="46">
        <v>874</v>
      </c>
    </row>
    <row r="169" spans="2:28">
      <c r="B169" s="37" t="s">
        <v>280</v>
      </c>
      <c r="D169" s="47">
        <f>Português!D169</f>
        <v>0</v>
      </c>
      <c r="E169" s="47">
        <f>Português!E169</f>
        <v>0</v>
      </c>
      <c r="F169" s="47">
        <f>Português!F169</f>
        <v>0</v>
      </c>
      <c r="G169" s="47">
        <f>Português!G169</f>
        <v>-83</v>
      </c>
      <c r="H169" s="47">
        <f>Português!H169</f>
        <v>285</v>
      </c>
      <c r="I169" s="47">
        <f>Português!I169</f>
        <v>-2655</v>
      </c>
      <c r="J169" s="47">
        <v>2430</v>
      </c>
      <c r="K169" s="46">
        <v>1507</v>
      </c>
      <c r="L169" s="46">
        <v>-350</v>
      </c>
    </row>
    <row r="170" spans="2:28">
      <c r="B170" s="37" t="s">
        <v>153</v>
      </c>
      <c r="D170" s="47">
        <f>Português!D170</f>
        <v>0</v>
      </c>
      <c r="E170" s="47">
        <f>Português!E170</f>
        <v>493</v>
      </c>
      <c r="F170" s="47">
        <f>Português!F170</f>
        <v>-4420</v>
      </c>
      <c r="G170" s="47">
        <f>Português!G170</f>
        <v>-115</v>
      </c>
      <c r="H170" s="47">
        <f>Português!H170</f>
        <v>10340</v>
      </c>
      <c r="I170" s="47">
        <f>Português!I170</f>
        <v>7380</v>
      </c>
      <c r="J170" s="47">
        <v>-1111</v>
      </c>
      <c r="K170" s="46">
        <v>11545</v>
      </c>
      <c r="L170" s="46">
        <v>1966</v>
      </c>
    </row>
    <row r="171" spans="2:28">
      <c r="B171" s="37" t="s">
        <v>236</v>
      </c>
      <c r="D171" s="47">
        <f>Português!D171</f>
        <v>-7550</v>
      </c>
      <c r="E171" s="47">
        <f>Português!E171</f>
        <v>-7703</v>
      </c>
      <c r="F171" s="47">
        <f>Português!F171</f>
        <v>-2122</v>
      </c>
      <c r="G171" s="47">
        <f>Português!G171</f>
        <v>-56621</v>
      </c>
      <c r="H171" s="47">
        <f>Português!H171</f>
        <v>-70607</v>
      </c>
      <c r="I171" s="47">
        <f>Português!I171</f>
        <v>-31073</v>
      </c>
      <c r="J171" s="47">
        <v>-40445</v>
      </c>
      <c r="K171" s="46">
        <v>-83471</v>
      </c>
      <c r="L171" s="46">
        <v>-36669</v>
      </c>
    </row>
    <row r="172" spans="2:28">
      <c r="B172" s="37" t="s">
        <v>154</v>
      </c>
      <c r="D172" s="47">
        <f>Português!D172</f>
        <v>16885</v>
      </c>
      <c r="E172" s="47">
        <f>Português!E172</f>
        <v>22415</v>
      </c>
      <c r="F172" s="47">
        <f>Português!F172</f>
        <v>22915</v>
      </c>
      <c r="G172" s="47">
        <f>Português!G172</f>
        <v>76540</v>
      </c>
      <c r="H172" s="47">
        <f>Português!H172</f>
        <v>226663</v>
      </c>
      <c r="I172" s="47">
        <f>Português!I172</f>
        <v>222968</v>
      </c>
      <c r="J172" s="47">
        <v>213084</v>
      </c>
      <c r="K172" s="46">
        <v>251724</v>
      </c>
      <c r="L172" s="46">
        <v>119001</v>
      </c>
    </row>
    <row r="173" spans="2:28">
      <c r="B173" s="37" t="s">
        <v>373</v>
      </c>
      <c r="D173" s="47">
        <f>Português!D173</f>
        <v>0</v>
      </c>
      <c r="E173" s="47">
        <f>Português!E173</f>
        <v>0</v>
      </c>
      <c r="F173" s="47">
        <f>Português!F173</f>
        <v>0</v>
      </c>
      <c r="G173" s="47">
        <f>Português!G173</f>
        <v>0</v>
      </c>
      <c r="H173" s="47">
        <f>Português!H173</f>
        <v>0</v>
      </c>
      <c r="I173" s="47">
        <f>Português!I173</f>
        <v>0</v>
      </c>
      <c r="J173" s="47">
        <v>938</v>
      </c>
      <c r="K173" s="46"/>
      <c r="L173" s="46"/>
    </row>
    <row r="174" spans="2:28">
      <c r="B174" s="37" t="s">
        <v>372</v>
      </c>
      <c r="D174" s="47">
        <f>Português!D174</f>
        <v>0</v>
      </c>
      <c r="E174" s="47">
        <f>Português!E174</f>
        <v>0</v>
      </c>
      <c r="F174" s="47">
        <f>Português!F174</f>
        <v>0</v>
      </c>
      <c r="G174" s="47">
        <f>Português!G174</f>
        <v>0</v>
      </c>
      <c r="H174" s="47">
        <f>Português!H174</f>
        <v>0</v>
      </c>
      <c r="I174" s="47">
        <f>Português!I174</f>
        <v>0</v>
      </c>
      <c r="J174" s="47">
        <v>754264</v>
      </c>
      <c r="K174" s="46"/>
      <c r="L174" s="46"/>
    </row>
    <row r="175" spans="2:28">
      <c r="B175" s="37" t="s">
        <v>237</v>
      </c>
      <c r="D175" s="47">
        <f>Português!D175</f>
        <v>65972</v>
      </c>
      <c r="E175" s="47">
        <f>Português!E175</f>
        <v>72994</v>
      </c>
      <c r="F175" s="47">
        <f>Português!F175</f>
        <v>30119</v>
      </c>
      <c r="G175" s="47">
        <f>Português!G175</f>
        <v>-21364</v>
      </c>
      <c r="H175" s="47">
        <f>Português!H175</f>
        <v>26668</v>
      </c>
      <c r="I175" s="47">
        <f>Português!I175</f>
        <v>21773</v>
      </c>
      <c r="J175" s="47">
        <v>-194384</v>
      </c>
      <c r="K175" s="46">
        <v>-9108</v>
      </c>
      <c r="L175" s="46">
        <v>-358</v>
      </c>
    </row>
    <row r="176" spans="2:28">
      <c r="B176" s="37"/>
      <c r="D176" s="50">
        <f>SUM(D161:D175)</f>
        <v>273832.65302999999</v>
      </c>
      <c r="E176" s="50">
        <f t="shared" ref="E176:G176" si="342">SUM(E161:E175)</f>
        <v>288952.99999999994</v>
      </c>
      <c r="F176" s="50">
        <f t="shared" si="342"/>
        <v>230093</v>
      </c>
      <c r="G176" s="50">
        <f t="shared" si="342"/>
        <v>233450.8</v>
      </c>
      <c r="H176" s="50">
        <f>SUM(H161:H175)</f>
        <v>483820</v>
      </c>
      <c r="I176" s="50">
        <f>SUM(I161:I175)</f>
        <v>540570</v>
      </c>
      <c r="J176" s="50">
        <v>513682</v>
      </c>
      <c r="K176" s="50">
        <v>468823</v>
      </c>
      <c r="L176" s="50">
        <v>278233</v>
      </c>
    </row>
    <row r="177" spans="2:12">
      <c r="B177" s="38" t="s">
        <v>155</v>
      </c>
      <c r="D177" s="57"/>
      <c r="E177" s="57"/>
      <c r="F177" s="57"/>
      <c r="G177" s="57"/>
      <c r="H177" s="57"/>
      <c r="I177" s="57"/>
      <c r="J177" s="57"/>
      <c r="K177" s="57"/>
      <c r="L177" s="57"/>
    </row>
    <row r="178" spans="2:12">
      <c r="B178" s="37" t="s">
        <v>124</v>
      </c>
      <c r="D178" s="47">
        <f>Português!D178</f>
        <v>-23858</v>
      </c>
      <c r="E178" s="47">
        <f>Português!E178</f>
        <v>-88638</v>
      </c>
      <c r="F178" s="47">
        <f>Português!F178</f>
        <v>-68525</v>
      </c>
      <c r="G178" s="47">
        <f>Português!G178</f>
        <v>-17627</v>
      </c>
      <c r="H178" s="47">
        <f>Português!H178</f>
        <v>-194911</v>
      </c>
      <c r="I178" s="47">
        <f>Português!I178</f>
        <v>-257119</v>
      </c>
      <c r="J178" s="47">
        <v>-176312</v>
      </c>
      <c r="K178" s="46">
        <v>-112174</v>
      </c>
      <c r="L178" s="46">
        <v>-113076</v>
      </c>
    </row>
    <row r="179" spans="2:12">
      <c r="B179" s="37" t="s">
        <v>125</v>
      </c>
      <c r="D179" s="47">
        <f>Português!D179</f>
        <v>-3558</v>
      </c>
      <c r="E179" s="47">
        <f>Português!E179</f>
        <v>-2485</v>
      </c>
      <c r="F179" s="47">
        <f>Português!F179</f>
        <v>-4467</v>
      </c>
      <c r="G179" s="47">
        <f>Português!G179</f>
        <v>-4597</v>
      </c>
      <c r="H179" s="47">
        <f>Português!H179</f>
        <v>-18131</v>
      </c>
      <c r="I179" s="47">
        <f>Português!I179</f>
        <v>1121</v>
      </c>
      <c r="J179" s="47">
        <v>-2079</v>
      </c>
      <c r="K179" s="46">
        <v>-22028</v>
      </c>
      <c r="L179" s="46">
        <v>4212</v>
      </c>
    </row>
    <row r="180" spans="2:12">
      <c r="B180" s="37" t="s">
        <v>156</v>
      </c>
      <c r="D180" s="47">
        <f>Português!D180</f>
        <v>-8067</v>
      </c>
      <c r="E180" s="47">
        <f>Português!E180</f>
        <v>-2820</v>
      </c>
      <c r="F180" s="47">
        <f>Português!F180</f>
        <v>-320</v>
      </c>
      <c r="G180" s="47">
        <f>Português!G180</f>
        <v>-3704</v>
      </c>
      <c r="H180" s="47">
        <f>Português!H180</f>
        <v>-19889</v>
      </c>
      <c r="I180" s="47">
        <f>Português!I180</f>
        <v>14259</v>
      </c>
      <c r="J180" s="47">
        <v>-1356</v>
      </c>
      <c r="K180" s="46">
        <v>13859</v>
      </c>
      <c r="L180" s="46">
        <v>-2084</v>
      </c>
    </row>
    <row r="181" spans="2:12">
      <c r="B181" s="37" t="s">
        <v>130</v>
      </c>
      <c r="D181" s="47">
        <f>Português!D181</f>
        <v>806</v>
      </c>
      <c r="E181" s="47">
        <f>Português!E181</f>
        <v>-10609</v>
      </c>
      <c r="F181" s="47">
        <f>Português!F181</f>
        <v>-2586</v>
      </c>
      <c r="G181" s="47">
        <f>Português!G181</f>
        <v>-6596</v>
      </c>
      <c r="H181" s="47">
        <f>Português!H181</f>
        <v>-17826</v>
      </c>
      <c r="I181" s="47">
        <f>Português!I181</f>
        <v>6531</v>
      </c>
      <c r="J181" s="47">
        <v>-2695</v>
      </c>
      <c r="K181" s="46">
        <v>-9489</v>
      </c>
      <c r="L181" s="46">
        <v>1856</v>
      </c>
    </row>
    <row r="182" spans="2:12">
      <c r="B182" s="37" t="s">
        <v>136</v>
      </c>
      <c r="D182" s="47">
        <f>Português!D182</f>
        <v>7786</v>
      </c>
      <c r="E182" s="47">
        <f>Português!E182</f>
        <v>-2811</v>
      </c>
      <c r="F182" s="47">
        <f>Português!F182</f>
        <v>7458</v>
      </c>
      <c r="G182" s="47">
        <f>Português!G182</f>
        <v>14571</v>
      </c>
      <c r="H182" s="47">
        <f>Português!H182</f>
        <v>-3777</v>
      </c>
      <c r="I182" s="47">
        <f>Português!I182</f>
        <v>4404</v>
      </c>
      <c r="J182" s="47">
        <v>10950</v>
      </c>
      <c r="K182" s="46">
        <v>22804</v>
      </c>
      <c r="L182" s="46">
        <v>3818</v>
      </c>
    </row>
    <row r="183" spans="2:12">
      <c r="B183" s="37" t="s">
        <v>238</v>
      </c>
      <c r="D183" s="47">
        <f>Português!D183</f>
        <v>1326</v>
      </c>
      <c r="E183" s="47">
        <f>Português!E183</f>
        <v>2023</v>
      </c>
      <c r="F183" s="47">
        <f>Português!F183</f>
        <v>1599</v>
      </c>
      <c r="G183" s="47">
        <f>Português!G183</f>
        <v>2468</v>
      </c>
      <c r="H183" s="47">
        <f>Português!H183</f>
        <v>16248</v>
      </c>
      <c r="I183" s="47">
        <f>Português!I183</f>
        <v>4375</v>
      </c>
      <c r="J183" s="47">
        <v>730</v>
      </c>
      <c r="K183" s="46">
        <v>8315</v>
      </c>
      <c r="L183" s="46">
        <v>10885</v>
      </c>
    </row>
    <row r="184" spans="2:12">
      <c r="B184" s="37" t="s">
        <v>157</v>
      </c>
      <c r="D184" s="47">
        <f>Português!D184</f>
        <v>-3623</v>
      </c>
      <c r="E184" s="47">
        <f>Português!E184</f>
        <v>391</v>
      </c>
      <c r="F184" s="47">
        <f>Português!F184</f>
        <v>-2276</v>
      </c>
      <c r="G184" s="47">
        <f>Português!G184</f>
        <v>85773</v>
      </c>
      <c r="H184" s="47">
        <f>Português!H184</f>
        <v>51355</v>
      </c>
      <c r="I184" s="47">
        <f>Português!I184</f>
        <v>44991</v>
      </c>
      <c r="J184" s="47">
        <v>17291</v>
      </c>
      <c r="K184" s="46">
        <v>54168</v>
      </c>
      <c r="L184" s="46">
        <v>35405</v>
      </c>
    </row>
    <row r="185" spans="2:12">
      <c r="B185" s="37" t="s">
        <v>138</v>
      </c>
      <c r="D185" s="47">
        <f>Português!D185</f>
        <v>0</v>
      </c>
      <c r="E185" s="47">
        <f>Português!E185</f>
        <v>0</v>
      </c>
      <c r="F185" s="47">
        <f>Português!F185</f>
        <v>-2630</v>
      </c>
      <c r="G185" s="47">
        <f>Português!G185</f>
        <v>-8096</v>
      </c>
      <c r="H185" s="47">
        <f>Português!H185</f>
        <v>-6141</v>
      </c>
      <c r="I185" s="47">
        <f>Português!I185</f>
        <v>-6005</v>
      </c>
      <c r="J185" s="47">
        <v>-6956</v>
      </c>
      <c r="K185" s="46">
        <v>-5794</v>
      </c>
      <c r="L185" s="46">
        <v>-246</v>
      </c>
    </row>
    <row r="186" spans="2:12">
      <c r="B186" s="37" t="s">
        <v>380</v>
      </c>
      <c r="D186" s="47">
        <f>Português!D186</f>
        <v>0</v>
      </c>
      <c r="E186" s="47">
        <f>Português!E186</f>
        <v>0</v>
      </c>
      <c r="F186" s="47">
        <f>Português!F186</f>
        <v>0</v>
      </c>
      <c r="G186" s="47">
        <f>Português!G186</f>
        <v>0</v>
      </c>
      <c r="H186" s="47">
        <f>Português!H186</f>
        <v>0</v>
      </c>
      <c r="I186" s="47">
        <f>Português!I186</f>
        <v>0</v>
      </c>
      <c r="J186" s="47">
        <v>-39995</v>
      </c>
      <c r="K186" s="46">
        <v>0</v>
      </c>
      <c r="L186" s="46"/>
    </row>
    <row r="187" spans="2:12">
      <c r="B187" s="37" t="s">
        <v>158</v>
      </c>
      <c r="D187" s="47">
        <f>Português!D187</f>
        <v>-2560</v>
      </c>
      <c r="E187" s="47">
        <f>Português!E187</f>
        <v>-438</v>
      </c>
      <c r="F187" s="47">
        <f>Português!F187</f>
        <v>148</v>
      </c>
      <c r="G187" s="47">
        <f>Português!G187</f>
        <v>2058</v>
      </c>
      <c r="H187" s="47">
        <f>Português!H187</f>
        <v>-19281</v>
      </c>
      <c r="I187" s="47">
        <f>Português!I187</f>
        <v>-6699</v>
      </c>
      <c r="J187" s="47">
        <v>-5815</v>
      </c>
      <c r="K187" s="46">
        <v>-4102</v>
      </c>
      <c r="L187" s="46">
        <v>1287</v>
      </c>
    </row>
    <row r="188" spans="2:12">
      <c r="B188" s="30"/>
      <c r="D188" s="58">
        <f>SUM(D176:D187)</f>
        <v>242084.65302999999</v>
      </c>
      <c r="E188" s="58">
        <f t="shared" ref="E188:G188" si="343">SUM(E176:E187)</f>
        <v>183565.99999999994</v>
      </c>
      <c r="F188" s="58">
        <f t="shared" si="343"/>
        <v>158494</v>
      </c>
      <c r="G188" s="58">
        <f t="shared" si="343"/>
        <v>297700.8</v>
      </c>
      <c r="H188" s="58">
        <f t="shared" ref="H188:I188" si="344">SUM(H176:H187)</f>
        <v>271467</v>
      </c>
      <c r="I188" s="58">
        <f t="shared" si="344"/>
        <v>346428</v>
      </c>
      <c r="J188" s="58">
        <v>307445</v>
      </c>
      <c r="K188" s="58">
        <v>414382</v>
      </c>
      <c r="L188" s="58">
        <v>220290</v>
      </c>
    </row>
    <row r="189" spans="2:12">
      <c r="B189" s="37" t="s">
        <v>159</v>
      </c>
      <c r="D189" s="47">
        <f>Português!D189</f>
        <v>-61041</v>
      </c>
      <c r="E189" s="47">
        <f>Português!E189</f>
        <v>-65514</v>
      </c>
      <c r="F189" s="47">
        <f>Português!F189</f>
        <v>-70455</v>
      </c>
      <c r="G189" s="47">
        <f>Português!G189</f>
        <v>-116365</v>
      </c>
      <c r="H189" s="47">
        <f>Português!H189</f>
        <v>-31458</v>
      </c>
      <c r="I189" s="47">
        <f>Português!I189</f>
        <v>-35092</v>
      </c>
      <c r="J189" s="47">
        <v>-20459</v>
      </c>
      <c r="K189" s="46">
        <v>-39467</v>
      </c>
      <c r="L189" s="46">
        <v>-33669</v>
      </c>
    </row>
    <row r="190" spans="2:12">
      <c r="B190" s="37" t="s">
        <v>160</v>
      </c>
      <c r="D190" s="47">
        <f>Português!D190</f>
        <v>-11983</v>
      </c>
      <c r="E190" s="47">
        <f>Português!E190</f>
        <v>-17129</v>
      </c>
      <c r="F190" s="47">
        <f>Português!F190</f>
        <v>-7977</v>
      </c>
      <c r="G190" s="47">
        <f>Português!G190</f>
        <v>-28129.499199999998</v>
      </c>
      <c r="H190" s="47">
        <f>Português!H190</f>
        <v>-141687</v>
      </c>
      <c r="I190" s="47">
        <f>Português!I190</f>
        <v>-154127</v>
      </c>
      <c r="J190" s="47">
        <v>-154552</v>
      </c>
      <c r="K190" s="46">
        <v>-151075</v>
      </c>
      <c r="L190" s="46">
        <v>-99819</v>
      </c>
    </row>
    <row r="191" spans="2:12">
      <c r="B191" s="38" t="s">
        <v>161</v>
      </c>
      <c r="D191" s="51">
        <f t="shared" ref="D191:I191" si="345">SUM(D188,D189,D190)</f>
        <v>169060.65302999999</v>
      </c>
      <c r="E191" s="51">
        <f t="shared" si="345"/>
        <v>100922.99999999994</v>
      </c>
      <c r="F191" s="51">
        <f t="shared" si="345"/>
        <v>80062</v>
      </c>
      <c r="G191" s="51">
        <f t="shared" si="345"/>
        <v>153206.3008</v>
      </c>
      <c r="H191" s="51">
        <f t="shared" si="345"/>
        <v>98322</v>
      </c>
      <c r="I191" s="51">
        <f t="shared" si="345"/>
        <v>157209</v>
      </c>
      <c r="J191" s="51">
        <v>132434</v>
      </c>
      <c r="K191" s="51">
        <v>224333</v>
      </c>
      <c r="L191" s="51">
        <v>86802</v>
      </c>
    </row>
    <row r="192" spans="2:12">
      <c r="B192" s="39" t="s">
        <v>162</v>
      </c>
      <c r="D192" s="59"/>
      <c r="E192" s="59"/>
      <c r="F192" s="59"/>
      <c r="G192" s="59"/>
      <c r="H192" s="59"/>
      <c r="I192" s="59"/>
      <c r="J192" s="59"/>
      <c r="K192" s="59"/>
      <c r="L192" s="59"/>
    </row>
    <row r="193" spans="1:12">
      <c r="B193" s="37" t="s">
        <v>239</v>
      </c>
      <c r="D193" s="47">
        <f>Português!D193</f>
        <v>-149773</v>
      </c>
      <c r="E193" s="47">
        <f>Português!E193</f>
        <v>-97129</v>
      </c>
      <c r="F193" s="47">
        <f>Português!F193</f>
        <v>-23115</v>
      </c>
      <c r="G193" s="47">
        <f>Português!G193</f>
        <v>-113890</v>
      </c>
      <c r="H193" s="47">
        <f>Português!H193</f>
        <v>-199972</v>
      </c>
      <c r="I193" s="47">
        <f>Português!I193</f>
        <v>-154466</v>
      </c>
      <c r="J193" s="47">
        <v>-188412</v>
      </c>
      <c r="K193" s="46">
        <v>-47569</v>
      </c>
      <c r="L193" s="46">
        <v>-32318</v>
      </c>
    </row>
    <row r="194" spans="1:12">
      <c r="B194" s="37" t="s">
        <v>163</v>
      </c>
      <c r="D194" s="47">
        <f>Português!D194</f>
        <v>-2331</v>
      </c>
      <c r="E194" s="47">
        <f>Português!E194</f>
        <v>-699</v>
      </c>
      <c r="F194" s="47">
        <f>Português!F194</f>
        <v>-942</v>
      </c>
      <c r="G194" s="47">
        <f>Português!G194</f>
        <v>-10041</v>
      </c>
      <c r="H194" s="47">
        <f>Português!H194</f>
        <v>-15956</v>
      </c>
      <c r="I194" s="47">
        <f>Português!I194</f>
        <v>-13602</v>
      </c>
      <c r="J194" s="47">
        <v>-12045</v>
      </c>
      <c r="K194" s="46">
        <v>-13351</v>
      </c>
      <c r="L194" s="46">
        <v>-6236</v>
      </c>
    </row>
    <row r="195" spans="1:12">
      <c r="B195" s="37" t="s">
        <v>306</v>
      </c>
      <c r="D195" s="47">
        <f>Português!D195</f>
        <v>0</v>
      </c>
      <c r="E195" s="47">
        <f>Português!E195</f>
        <v>0</v>
      </c>
      <c r="F195" s="47">
        <f>Português!F195</f>
        <v>-52222</v>
      </c>
      <c r="G195" s="47">
        <f>Português!G195</f>
        <v>-221950</v>
      </c>
      <c r="H195" s="47">
        <f>Português!H195</f>
        <v>-130255</v>
      </c>
      <c r="I195" s="47">
        <f>Português!I195</f>
        <v>-28287</v>
      </c>
      <c r="J195" s="47">
        <v>-13381</v>
      </c>
      <c r="K195" s="46"/>
      <c r="L195" s="46"/>
    </row>
    <row r="196" spans="1:12">
      <c r="B196" s="37" t="s">
        <v>357</v>
      </c>
      <c r="D196" s="47"/>
      <c r="E196" s="47"/>
      <c r="F196" s="47"/>
      <c r="G196" s="47"/>
      <c r="H196" s="47">
        <f>Português!H196</f>
        <v>0</v>
      </c>
      <c r="I196" s="47">
        <f>Português!I196</f>
        <v>0</v>
      </c>
      <c r="J196" s="47">
        <v>-95</v>
      </c>
      <c r="K196" s="47"/>
      <c r="L196" s="47">
        <v>-471</v>
      </c>
    </row>
    <row r="197" spans="1:12">
      <c r="B197" s="37" t="s">
        <v>307</v>
      </c>
      <c r="D197" s="47">
        <v>0</v>
      </c>
      <c r="E197" s="47">
        <v>0</v>
      </c>
      <c r="F197" s="47">
        <v>0</v>
      </c>
      <c r="G197" s="47">
        <f>Português!G197</f>
        <v>6328</v>
      </c>
      <c r="H197" s="47">
        <f>Português!H197</f>
        <v>23868</v>
      </c>
      <c r="I197" s="47">
        <f>Português!I197</f>
        <v>388</v>
      </c>
      <c r="J197" s="47">
        <v>-12541</v>
      </c>
      <c r="K197" s="46"/>
      <c r="L197" s="46"/>
    </row>
    <row r="198" spans="1:12">
      <c r="A198" s="1" t="s">
        <v>321</v>
      </c>
      <c r="B198" s="37" t="s">
        <v>281</v>
      </c>
      <c r="D198" s="47">
        <v>0</v>
      </c>
      <c r="E198" s="47">
        <v>0</v>
      </c>
      <c r="F198" s="47">
        <v>0</v>
      </c>
      <c r="G198" s="47">
        <f>Português!G198</f>
        <v>-824220</v>
      </c>
      <c r="H198" s="47">
        <f>Português!H198</f>
        <v>-640181</v>
      </c>
      <c r="I198" s="47">
        <f>Português!I198</f>
        <v>-41785</v>
      </c>
      <c r="J198" s="47">
        <v>-28026</v>
      </c>
      <c r="K198" s="46">
        <v>-35178</v>
      </c>
      <c r="L198" s="46">
        <v>-24730</v>
      </c>
    </row>
    <row r="199" spans="1:12">
      <c r="B199" s="37" t="s">
        <v>382</v>
      </c>
      <c r="D199" s="47"/>
      <c r="E199" s="47"/>
      <c r="F199" s="47"/>
      <c r="G199" s="47"/>
      <c r="H199" s="47">
        <f>Português!H199</f>
        <v>0</v>
      </c>
      <c r="I199" s="47">
        <f>Português!I199</f>
        <v>0</v>
      </c>
      <c r="J199" s="47">
        <v>401261</v>
      </c>
      <c r="K199" s="46"/>
      <c r="L199" s="46"/>
    </row>
    <row r="200" spans="1:12">
      <c r="B200" s="37" t="s">
        <v>241</v>
      </c>
      <c r="D200" s="47">
        <f>Português!D200</f>
        <v>-21101</v>
      </c>
      <c r="E200" s="47">
        <f>Português!E200</f>
        <v>-17055</v>
      </c>
      <c r="F200" s="47">
        <f>Português!F200</f>
        <v>-9952</v>
      </c>
      <c r="G200" s="47">
        <f>Português!G200</f>
        <v>-72145</v>
      </c>
      <c r="H200" s="47">
        <f>Português!H200</f>
        <v>218041</v>
      </c>
      <c r="I200" s="47">
        <f>Português!I200</f>
        <v>73084</v>
      </c>
      <c r="J200" s="47">
        <v>69497</v>
      </c>
      <c r="K200" s="46">
        <v>109878</v>
      </c>
      <c r="L200" s="46">
        <v>35069</v>
      </c>
    </row>
    <row r="201" spans="1:12">
      <c r="B201" s="38" t="s">
        <v>164</v>
      </c>
      <c r="D201" s="51">
        <f t="shared" ref="D201:K201" si="346">SUM(D193:D200)</f>
        <v>-173205</v>
      </c>
      <c r="E201" s="51">
        <f t="shared" si="346"/>
        <v>-114883</v>
      </c>
      <c r="F201" s="51">
        <f t="shared" si="346"/>
        <v>-86231</v>
      </c>
      <c r="G201" s="51">
        <f t="shared" si="346"/>
        <v>-1235918</v>
      </c>
      <c r="H201" s="51">
        <f t="shared" si="346"/>
        <v>-744455</v>
      </c>
      <c r="I201" s="51">
        <f t="shared" si="346"/>
        <v>-164668</v>
      </c>
      <c r="J201" s="51">
        <f t="shared" si="346"/>
        <v>216258</v>
      </c>
      <c r="K201" s="51">
        <f t="shared" si="346"/>
        <v>13780</v>
      </c>
      <c r="L201" s="51">
        <v>-28686</v>
      </c>
    </row>
    <row r="202" spans="1:12">
      <c r="B202" s="39" t="s">
        <v>165</v>
      </c>
      <c r="D202" s="47"/>
      <c r="E202" s="47"/>
      <c r="F202" s="47"/>
      <c r="G202" s="47"/>
      <c r="H202" s="47"/>
      <c r="I202" s="47"/>
      <c r="J202" s="47"/>
      <c r="K202" s="47"/>
      <c r="L202" s="47"/>
    </row>
    <row r="203" spans="1:12">
      <c r="B203" s="37" t="s">
        <v>142</v>
      </c>
      <c r="D203" s="47">
        <f>Português!D203</f>
        <v>72164</v>
      </c>
      <c r="E203" s="47">
        <f>Português!E203</f>
        <v>45002</v>
      </c>
      <c r="F203" s="47">
        <f>Português!F203</f>
        <v>54586</v>
      </c>
      <c r="G203" s="47">
        <f>Português!G203</f>
        <v>914000</v>
      </c>
      <c r="H203" s="47">
        <f>Português!H203</f>
        <v>106201</v>
      </c>
      <c r="I203" s="47">
        <f>Português!I203</f>
        <v>82484</v>
      </c>
      <c r="J203" s="47">
        <v>208519</v>
      </c>
      <c r="K203" s="46">
        <v>700000</v>
      </c>
      <c r="L203" s="46"/>
    </row>
    <row r="204" spans="1:12">
      <c r="B204" s="37" t="s">
        <v>242</v>
      </c>
      <c r="D204" s="47">
        <f>Português!D204</f>
        <v>-28436</v>
      </c>
      <c r="E204" s="47">
        <f>Português!E204</f>
        <v>-31318</v>
      </c>
      <c r="F204" s="47">
        <f>Português!F204</f>
        <v>-20369</v>
      </c>
      <c r="G204" s="47">
        <f>Português!G204</f>
        <v>-61263</v>
      </c>
      <c r="H204" s="47">
        <f>Português!H204</f>
        <v>-118478</v>
      </c>
      <c r="I204" s="47">
        <f>Português!I204</f>
        <v>-29344</v>
      </c>
      <c r="J204" s="47">
        <v>-39157</v>
      </c>
      <c r="K204" s="46">
        <v>-765908</v>
      </c>
      <c r="L204" s="46">
        <v>-34621</v>
      </c>
    </row>
    <row r="205" spans="1:12">
      <c r="B205" s="37" t="s">
        <v>166</v>
      </c>
      <c r="D205" s="47">
        <f>Português!D205</f>
        <v>0</v>
      </c>
      <c r="E205" s="47">
        <f>Português!E205</f>
        <v>-1180</v>
      </c>
      <c r="F205" s="47">
        <f>Português!F205</f>
        <v>-2843</v>
      </c>
      <c r="G205" s="47">
        <f>Português!G205</f>
        <v>-8024.5008000000016</v>
      </c>
      <c r="H205" s="47">
        <f>Português!H205</f>
        <v>-28045</v>
      </c>
      <c r="I205" s="47">
        <f>Português!I205</f>
        <v>-31870</v>
      </c>
      <c r="J205" s="47">
        <v>-34712</v>
      </c>
      <c r="K205" s="46">
        <v>-24822</v>
      </c>
      <c r="L205" s="46">
        <v>-14283</v>
      </c>
    </row>
    <row r="206" spans="1:12">
      <c r="B206" s="37" t="s">
        <v>243</v>
      </c>
      <c r="D206" s="47">
        <f>Português!D206</f>
        <v>0</v>
      </c>
      <c r="E206" s="47">
        <f>Português!E206</f>
        <v>0</v>
      </c>
      <c r="F206" s="47">
        <f>Português!F206</f>
        <v>2579</v>
      </c>
      <c r="G206" s="47">
        <f>Português!G206</f>
        <v>3721</v>
      </c>
      <c r="H206" s="47">
        <f>Português!H206</f>
        <v>-6359</v>
      </c>
      <c r="I206" s="47">
        <f>Português!I206</f>
        <v>-8341</v>
      </c>
      <c r="J206" s="47">
        <v>-836</v>
      </c>
      <c r="K206" s="46">
        <v>-10686</v>
      </c>
      <c r="L206" s="46">
        <v>-2809</v>
      </c>
    </row>
    <row r="207" spans="1:12">
      <c r="B207" s="37" t="s">
        <v>208</v>
      </c>
      <c r="D207" s="47">
        <f>Português!D207</f>
        <v>0</v>
      </c>
      <c r="E207" s="47">
        <f>Português!E207</f>
        <v>0</v>
      </c>
      <c r="F207" s="47">
        <f>Português!F207</f>
        <v>0</v>
      </c>
      <c r="G207" s="47">
        <f>Português!G207</f>
        <v>1140564</v>
      </c>
      <c r="H207" s="47">
        <f>Português!H207</f>
        <v>0</v>
      </c>
      <c r="I207" s="47">
        <f>Português!I207</f>
        <v>0</v>
      </c>
      <c r="J207" s="47">
        <v>0</v>
      </c>
      <c r="K207" s="46"/>
      <c r="L207" s="46"/>
    </row>
    <row r="208" spans="1:12">
      <c r="B208" s="37" t="s">
        <v>391</v>
      </c>
      <c r="D208" s="47"/>
      <c r="E208" s="47"/>
      <c r="F208" s="47"/>
      <c r="G208" s="47"/>
      <c r="H208" s="46">
        <v>0</v>
      </c>
      <c r="I208" s="46">
        <v>0</v>
      </c>
      <c r="J208" s="46">
        <v>416</v>
      </c>
      <c r="K208" s="46"/>
      <c r="L208" s="46">
        <v>0</v>
      </c>
    </row>
    <row r="209" spans="2:12">
      <c r="B209" s="37" t="s">
        <v>334</v>
      </c>
      <c r="D209" s="47">
        <f>Português!D209</f>
        <v>0</v>
      </c>
      <c r="E209" s="47">
        <f>Português!E209</f>
        <v>0</v>
      </c>
      <c r="F209" s="47">
        <f>Português!F209</f>
        <v>0</v>
      </c>
      <c r="G209" s="47">
        <f>Português!G209</f>
        <v>0</v>
      </c>
      <c r="H209" s="47">
        <f>Português!H209</f>
        <v>-1962</v>
      </c>
      <c r="I209" s="47">
        <f>Português!I209</f>
        <v>0</v>
      </c>
      <c r="J209" s="47">
        <v>-59225</v>
      </c>
      <c r="K209" s="46">
        <v>-39389</v>
      </c>
      <c r="L209" s="46">
        <v>-6074</v>
      </c>
    </row>
    <row r="210" spans="2:12">
      <c r="B210" s="37" t="s">
        <v>404</v>
      </c>
      <c r="D210" s="47"/>
      <c r="E210" s="47"/>
      <c r="F210" s="47"/>
      <c r="G210" s="47"/>
      <c r="H210" s="47"/>
      <c r="I210" s="47"/>
      <c r="J210" s="47"/>
      <c r="K210" s="46">
        <v>-55986</v>
      </c>
      <c r="L210" s="46"/>
    </row>
    <row r="211" spans="2:12">
      <c r="B211" s="37" t="s">
        <v>167</v>
      </c>
      <c r="D211" s="47">
        <f>Português!D211</f>
        <v>-22139</v>
      </c>
      <c r="E211" s="47">
        <f>Português!E211</f>
        <v>-47893</v>
      </c>
      <c r="F211" s="47">
        <f>Português!F211</f>
        <v>-30248</v>
      </c>
      <c r="G211" s="47">
        <f>Português!G211</f>
        <v>-27293</v>
      </c>
      <c r="H211" s="47">
        <f>Português!H211</f>
        <v>-59010</v>
      </c>
      <c r="I211" s="47">
        <f>Português!I211</f>
        <v>-24582</v>
      </c>
      <c r="J211" s="47">
        <v>-28418</v>
      </c>
      <c r="K211" s="46">
        <v>-64773</v>
      </c>
      <c r="L211" s="46">
        <v>443</v>
      </c>
    </row>
    <row r="212" spans="2:12">
      <c r="B212" s="38" t="s">
        <v>244</v>
      </c>
      <c r="D212" s="51">
        <f>SUM(D203:D211)</f>
        <v>21589</v>
      </c>
      <c r="E212" s="51">
        <f t="shared" ref="E212:F212" si="347">SUM(E203:E211)</f>
        <v>-35389</v>
      </c>
      <c r="F212" s="51">
        <f t="shared" si="347"/>
        <v>3705</v>
      </c>
      <c r="G212" s="51">
        <f t="shared" ref="G212" si="348">SUM(G203:G211)</f>
        <v>1961704.4992</v>
      </c>
      <c r="H212" s="51">
        <f t="shared" ref="H212:J212" si="349">SUM(H203:H211)</f>
        <v>-107653</v>
      </c>
      <c r="I212" s="51">
        <f t="shared" si="349"/>
        <v>-11653</v>
      </c>
      <c r="J212" s="51">
        <f t="shared" si="349"/>
        <v>46587</v>
      </c>
      <c r="K212" s="51">
        <f>SUM(K203:K211)</f>
        <v>-261564</v>
      </c>
      <c r="L212" s="51">
        <v>-57344</v>
      </c>
    </row>
    <row r="214" spans="2:12">
      <c r="B214" s="38" t="s">
        <v>168</v>
      </c>
      <c r="D214" s="51">
        <f t="shared" ref="D214:J214" si="350">SUM(D191,D201,D212)</f>
        <v>17444.653029999987</v>
      </c>
      <c r="E214" s="51">
        <f t="shared" si="350"/>
        <v>-49349.000000000058</v>
      </c>
      <c r="F214" s="51">
        <f t="shared" si="350"/>
        <v>-2464</v>
      </c>
      <c r="G214" s="51">
        <f t="shared" si="350"/>
        <v>878992.8</v>
      </c>
      <c r="H214" s="51">
        <f t="shared" si="350"/>
        <v>-753786</v>
      </c>
      <c r="I214" s="51">
        <f t="shared" si="350"/>
        <v>-19112</v>
      </c>
      <c r="J214" s="51">
        <f t="shared" si="350"/>
        <v>395279</v>
      </c>
      <c r="K214" s="51">
        <f>SUM(K191,K201,K212)</f>
        <v>-23451</v>
      </c>
      <c r="L214" s="51">
        <v>772</v>
      </c>
    </row>
    <row r="215" spans="2:12">
      <c r="B215" s="37" t="s">
        <v>169</v>
      </c>
      <c r="D215" s="47">
        <v>155575</v>
      </c>
      <c r="E215" s="47">
        <f t="shared" ref="E215:I215" si="351">D216</f>
        <v>173020</v>
      </c>
      <c r="F215" s="47">
        <f t="shared" si="351"/>
        <v>123671</v>
      </c>
      <c r="G215" s="47">
        <f t="shared" si="351"/>
        <v>121207</v>
      </c>
      <c r="H215" s="47">
        <f t="shared" si="351"/>
        <v>1000200</v>
      </c>
      <c r="I215" s="47">
        <f t="shared" si="351"/>
        <v>246414</v>
      </c>
      <c r="J215" s="47">
        <v>227302</v>
      </c>
      <c r="K215" s="93">
        <v>622581</v>
      </c>
      <c r="L215" s="93">
        <v>599130</v>
      </c>
    </row>
    <row r="216" spans="2:12">
      <c r="B216" s="37" t="s">
        <v>170</v>
      </c>
      <c r="D216" s="47">
        <f>D87</f>
        <v>173020</v>
      </c>
      <c r="E216" s="47">
        <f>E87</f>
        <v>123671</v>
      </c>
      <c r="F216" s="47">
        <f>F87</f>
        <v>121207</v>
      </c>
      <c r="G216" s="47">
        <f>Português!G216</f>
        <v>1000200</v>
      </c>
      <c r="H216" s="47">
        <f>Português!H216</f>
        <v>246414</v>
      </c>
      <c r="I216" s="47">
        <f>Português!I216</f>
        <v>227302</v>
      </c>
      <c r="J216" s="47">
        <v>622581</v>
      </c>
      <c r="K216" s="93">
        <v>599130</v>
      </c>
      <c r="L216" s="93">
        <v>599902</v>
      </c>
    </row>
    <row r="217" spans="2:12">
      <c r="B217" s="38" t="s">
        <v>168</v>
      </c>
      <c r="D217" s="51">
        <f t="shared" ref="D217:G217" si="352">D216-D215</f>
        <v>17445</v>
      </c>
      <c r="E217" s="51">
        <f t="shared" si="352"/>
        <v>-49349</v>
      </c>
      <c r="F217" s="51">
        <f t="shared" si="352"/>
        <v>-2464</v>
      </c>
      <c r="G217" s="51">
        <f t="shared" si="352"/>
        <v>878993</v>
      </c>
      <c r="H217" s="51">
        <f t="shared" ref="H217:J217" si="353">H216-H215</f>
        <v>-753786</v>
      </c>
      <c r="I217" s="51">
        <f t="shared" si="353"/>
        <v>-19112</v>
      </c>
      <c r="J217" s="51">
        <f t="shared" si="353"/>
        <v>395279</v>
      </c>
      <c r="K217" s="100">
        <v>-23451</v>
      </c>
      <c r="L217" s="100">
        <v>772</v>
      </c>
    </row>
  </sheetData>
  <phoneticPr fontId="68" type="noConversion"/>
  <pageMargins left="0.25" right="0.25" top="0.75" bottom="0.75" header="0.3" footer="0.3"/>
  <pageSetup paperSize="9" orientation="landscape" r:id="rId1"/>
  <ignoredErrors>
    <ignoredError sqref="R156 V97 AC95 AE38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Português</vt:lpstr>
      <vt:lpstr>English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MATD_Planilha de Fundamentos</dc:title>
  <dc:creator>Elvira Gazire Nogueira</dc:creator>
  <cp:lastModifiedBy>Diretoria de Controladoria</cp:lastModifiedBy>
  <cp:lastPrinted>2021-05-27T19:27:48Z</cp:lastPrinted>
  <dcterms:created xsi:type="dcterms:W3CDTF">2018-03-19T20:41:07Z</dcterms:created>
  <dcterms:modified xsi:type="dcterms:W3CDTF">2026-09-24T18:02:55Z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